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FILIP\1 - IDF-NDI\Fiches Suiveuses\2023\12\"/>
    </mc:Choice>
  </mc:AlternateContent>
  <bookViews>
    <workbookView xWindow="5505" yWindow="435" windowWidth="15015" windowHeight="7020" tabRatio="851" activeTab="1"/>
  </bookViews>
  <sheets>
    <sheet name="Contrôle" sheetId="340" r:id="rId1"/>
    <sheet name="Secteur Robinetterie" sheetId="336" r:id="rId2"/>
    <sheet name="Secteur Rob.Public" sheetId="312" r:id="rId3"/>
    <sheet name="Bonneuil" sheetId="330" r:id="rId4"/>
    <sheet name="Stains" sheetId="314" r:id="rId5"/>
    <sheet name="Buc" sheetId="313" r:id="rId6"/>
    <sheet name="Vaux Le Pénil" sheetId="331" r:id="rId7"/>
    <sheet name="Réseaux-DAAF" sheetId="332" state="hidden" r:id="rId8"/>
    <sheet name="Secteur Rob.Privée" sheetId="333" r:id="rId9"/>
    <sheet name="Montlouis" sheetId="334" r:id="rId10"/>
    <sheet name="Sani" sheetId="335" r:id="rId11"/>
  </sheets>
  <externalReferences>
    <externalReference r:id="rId12"/>
  </externalReferences>
  <definedNames>
    <definedName name="_xlnm.Print_Titles" localSheetId="3">Bonneuil!$F:$L,Bonneuil!$7:$10</definedName>
    <definedName name="_xlnm.Print_Titles" localSheetId="5">Buc!$F:$L,Buc!$7:$10</definedName>
    <definedName name="_xlnm.Print_Titles" localSheetId="0">Contrôle!$1:$10</definedName>
    <definedName name="_xlnm.Print_Titles" localSheetId="9">Montlouis!$F:$L,Montlouis!$7:$10</definedName>
    <definedName name="_xlnm.Print_Titles" localSheetId="7">'Réseaux-DAAF'!$F:$L,'Réseaux-DAAF'!$7:$10</definedName>
    <definedName name="_xlnm.Print_Titles" localSheetId="10">Sani!$F:$L,Sani!$7:$10</definedName>
    <definedName name="_xlnm.Print_Titles" localSheetId="8">'Secteur Rob.Privée'!$F:$L,'Secteur Rob.Privée'!$7:$10</definedName>
    <definedName name="_xlnm.Print_Titles" localSheetId="2">'Secteur Rob.Public'!$F:$L,'Secteur Rob.Public'!$7:$10</definedName>
    <definedName name="_xlnm.Print_Titles" localSheetId="1">'Secteur Robinetterie'!$F:$L,'Secteur Robinetterie'!$7:$10</definedName>
    <definedName name="_xlnm.Print_Titles" localSheetId="4">Stains!$F:$L,Stains!$7:$10</definedName>
    <definedName name="_xlnm.Print_Titles" localSheetId="6">'Vaux Le Pénil'!$F:$L,'Vaux Le Pénil'!$7:$10</definedName>
    <definedName name="_xlnm.Print_Area" localSheetId="3">Bonneuil!$F$7:$AE$380</definedName>
    <definedName name="_xlnm.Print_Area" localSheetId="5">Buc!$F$7:$AE$380</definedName>
    <definedName name="_xlnm.Print_Area" localSheetId="0">Contrôle!$G$7:$AH$20</definedName>
    <definedName name="_xlnm.Print_Area" localSheetId="9">Montlouis!$F$7:$AE$380</definedName>
    <definedName name="_xlnm.Print_Area" localSheetId="7">'Réseaux-DAAF'!$F$7:$AE$367</definedName>
    <definedName name="_xlnm.Print_Area" localSheetId="10">Sani!$F$7:$AE$380</definedName>
    <definedName name="_xlnm.Print_Area" localSheetId="8">'Secteur Rob.Privée'!$F$7:$AE$380</definedName>
    <definedName name="_xlnm.Print_Area" localSheetId="2">'Secteur Rob.Public'!$F$7:$AE$380</definedName>
    <definedName name="_xlnm.Print_Area" localSheetId="1">'Secteur Robinetterie'!$F$7:$AE$380</definedName>
    <definedName name="_xlnm.Print_Area" localSheetId="4">Stains!$F$7:$AE$380</definedName>
    <definedName name="_xlnm.Print_Area" localSheetId="6">'Vaux Le Pénil'!$F$7:$AE$380</definedName>
  </definedNames>
  <calcPr calcId="162913"/>
</workbook>
</file>

<file path=xl/calcChain.xml><?xml version="1.0" encoding="utf-8"?>
<calcChain xmlns="http://schemas.openxmlformats.org/spreadsheetml/2006/main">
  <c r="G35" i="340" l="1"/>
  <c r="G34" i="340"/>
  <c r="G33" i="340"/>
  <c r="G32" i="340"/>
  <c r="G31" i="340"/>
  <c r="G30" i="340"/>
  <c r="G29" i="340"/>
  <c r="G28" i="340"/>
  <c r="G27" i="340"/>
  <c r="G26" i="340"/>
  <c r="T5" i="340"/>
  <c r="T4" i="340"/>
  <c r="T3" i="340"/>
  <c r="T2" i="340"/>
  <c r="S10" i="332"/>
  <c r="S5" i="332"/>
  <c r="S4" i="332"/>
  <c r="S3" i="332"/>
  <c r="S2" i="332"/>
  <c r="V355" i="332"/>
  <c r="N355" i="332"/>
  <c r="X354" i="332"/>
  <c r="P354" i="332"/>
  <c r="H354" i="332"/>
  <c r="R351" i="332"/>
  <c r="J351" i="332"/>
  <c r="T350" i="332"/>
  <c r="L350" i="332"/>
  <c r="V338" i="332"/>
  <c r="N338" i="332"/>
  <c r="X337" i="332"/>
  <c r="P337" i="332"/>
  <c r="H337" i="332"/>
  <c r="J282" i="332"/>
  <c r="L278" i="332"/>
  <c r="H275" i="332"/>
  <c r="J274" i="332"/>
  <c r="L273" i="332"/>
  <c r="H271" i="332"/>
  <c r="J270" i="332"/>
  <c r="L269" i="332"/>
  <c r="M358" i="332"/>
  <c r="M357" i="332"/>
  <c r="U355" i="332"/>
  <c r="M355" i="332"/>
  <c r="W354" i="332"/>
  <c r="O354" i="332"/>
  <c r="Q351" i="332"/>
  <c r="I351" i="332"/>
  <c r="S350" i="332"/>
  <c r="K350" i="332"/>
  <c r="M348" i="332"/>
  <c r="M346" i="332"/>
  <c r="M345" i="332"/>
  <c r="M344" i="332"/>
  <c r="M343" i="332"/>
  <c r="M342" i="332"/>
  <c r="M341" i="332"/>
  <c r="U338" i="332"/>
  <c r="M338" i="332"/>
  <c r="W337" i="332"/>
  <c r="O337" i="332"/>
  <c r="Y282" i="332"/>
  <c r="I282" i="332"/>
  <c r="K278" i="332"/>
  <c r="M277" i="332"/>
  <c r="Y274" i="332"/>
  <c r="I274" i="332"/>
  <c r="K273" i="332"/>
  <c r="M272" i="332"/>
  <c r="J358" i="332"/>
  <c r="J357" i="332"/>
  <c r="T355" i="332"/>
  <c r="L355" i="332"/>
  <c r="V354" i="332"/>
  <c r="N354" i="332"/>
  <c r="X351" i="332"/>
  <c r="P351" i="332"/>
  <c r="H351" i="332"/>
  <c r="R350" i="332"/>
  <c r="J350" i="332"/>
  <c r="J348" i="332"/>
  <c r="J346" i="332"/>
  <c r="J345" i="332"/>
  <c r="J344" i="332"/>
  <c r="J343" i="332"/>
  <c r="J342" i="332"/>
  <c r="J341" i="332"/>
  <c r="T338" i="332"/>
  <c r="L338" i="332"/>
  <c r="V337" i="332"/>
  <c r="N337" i="332"/>
  <c r="H282" i="332"/>
  <c r="J278" i="332"/>
  <c r="L277" i="332"/>
  <c r="I358" i="332"/>
  <c r="I357" i="332"/>
  <c r="S355" i="332"/>
  <c r="K355" i="332"/>
  <c r="U354" i="332"/>
  <c r="M354" i="332"/>
  <c r="W351" i="332"/>
  <c r="O351" i="332"/>
  <c r="Q350" i="332"/>
  <c r="I350" i="332"/>
  <c r="I348" i="332"/>
  <c r="I346" i="332"/>
  <c r="I345" i="332"/>
  <c r="I344" i="332"/>
  <c r="I343" i="332"/>
  <c r="I342" i="332"/>
  <c r="I341" i="332"/>
  <c r="S338" i="332"/>
  <c r="K338" i="332"/>
  <c r="U337" i="332"/>
  <c r="M337" i="332"/>
  <c r="Y278" i="332"/>
  <c r="I278" i="332"/>
  <c r="K277" i="332"/>
  <c r="M275" i="332"/>
  <c r="Y273" i="332"/>
  <c r="I273" i="332"/>
  <c r="K272" i="332"/>
  <c r="M271" i="332"/>
  <c r="Y269" i="332"/>
  <c r="I269" i="332"/>
  <c r="K268" i="332"/>
  <c r="M267" i="332"/>
  <c r="Y265" i="332"/>
  <c r="I265" i="332"/>
  <c r="K264" i="332"/>
  <c r="M263" i="332"/>
  <c r="Y261" i="332"/>
  <c r="I261" i="332"/>
  <c r="K260" i="332"/>
  <c r="M259" i="332"/>
  <c r="Y257" i="332"/>
  <c r="I257" i="332"/>
  <c r="K256" i="332"/>
  <c r="M255" i="332"/>
  <c r="Y253" i="332"/>
  <c r="I253" i="332"/>
  <c r="K252" i="332"/>
  <c r="H358" i="332"/>
  <c r="H357" i="332"/>
  <c r="R355" i="332"/>
  <c r="J355" i="332"/>
  <c r="T354" i="332"/>
  <c r="L354" i="332"/>
  <c r="V351" i="332"/>
  <c r="N351" i="332"/>
  <c r="X350" i="332"/>
  <c r="P350" i="332"/>
  <c r="H350" i="332"/>
  <c r="H348" i="332"/>
  <c r="H346" i="332"/>
  <c r="H345" i="332"/>
  <c r="H344" i="332"/>
  <c r="H343" i="332"/>
  <c r="H342" i="332"/>
  <c r="H341" i="332"/>
  <c r="R338" i="332"/>
  <c r="J338" i="332"/>
  <c r="T337" i="332"/>
  <c r="L337" i="332"/>
  <c r="H278" i="332"/>
  <c r="J277" i="332"/>
  <c r="L275" i="332"/>
  <c r="H273" i="332"/>
  <c r="J272" i="332"/>
  <c r="L271" i="332"/>
  <c r="H269" i="332"/>
  <c r="J268" i="332"/>
  <c r="Y358" i="332"/>
  <c r="Y357" i="332"/>
  <c r="Q355" i="332"/>
  <c r="I355" i="332"/>
  <c r="S354" i="332"/>
  <c r="K354" i="332"/>
  <c r="U351" i="332"/>
  <c r="M351" i="332"/>
  <c r="W350" i="332"/>
  <c r="O350" i="332"/>
  <c r="Y348" i="332"/>
  <c r="Y346" i="332"/>
  <c r="Y345" i="332"/>
  <c r="Y344" i="332"/>
  <c r="Y343" i="332"/>
  <c r="Y342" i="332"/>
  <c r="Y341" i="332"/>
  <c r="Q338" i="332"/>
  <c r="I338" i="332"/>
  <c r="S337" i="332"/>
  <c r="K337" i="332"/>
  <c r="M282" i="332"/>
  <c r="Y277" i="332"/>
  <c r="I277" i="332"/>
  <c r="K275" i="332"/>
  <c r="M274" i="332"/>
  <c r="Y272" i="332"/>
  <c r="I272" i="332"/>
  <c r="X355" i="332"/>
  <c r="P355" i="332"/>
  <c r="H355" i="332"/>
  <c r="R354" i="332"/>
  <c r="J354" i="332"/>
  <c r="T351" i="332"/>
  <c r="L351" i="332"/>
  <c r="V350" i="332"/>
  <c r="N350" i="332"/>
  <c r="X338" i="332"/>
  <c r="P338" i="332"/>
  <c r="H338" i="332"/>
  <c r="R337" i="332"/>
  <c r="J337" i="332"/>
  <c r="L282" i="332"/>
  <c r="H277" i="332"/>
  <c r="W355" i="332"/>
  <c r="O355" i="332"/>
  <c r="Q354" i="332"/>
  <c r="I354" i="332"/>
  <c r="S351" i="332"/>
  <c r="K351" i="332"/>
  <c r="U350" i="332"/>
  <c r="M350" i="332"/>
  <c r="W338" i="332"/>
  <c r="O338" i="332"/>
  <c r="Q337" i="332"/>
  <c r="I337" i="332"/>
  <c r="K282" i="332"/>
  <c r="M278" i="332"/>
  <c r="Y275" i="332"/>
  <c r="I275" i="332"/>
  <c r="K274" i="332"/>
  <c r="M273" i="332"/>
  <c r="Y271" i="332"/>
  <c r="I271" i="332"/>
  <c r="K270" i="332"/>
  <c r="M269" i="332"/>
  <c r="Y267" i="332"/>
  <c r="I267" i="332"/>
  <c r="K266" i="332"/>
  <c r="M265" i="332"/>
  <c r="Y263" i="332"/>
  <c r="I263" i="332"/>
  <c r="K262" i="332"/>
  <c r="M261" i="332"/>
  <c r="Y259" i="332"/>
  <c r="I259" i="332"/>
  <c r="K258" i="332"/>
  <c r="M257" i="332"/>
  <c r="Y255" i="332"/>
  <c r="I255" i="332"/>
  <c r="K254" i="332"/>
  <c r="M253" i="332"/>
  <c r="Y251" i="332"/>
  <c r="J273" i="332"/>
  <c r="H268" i="332"/>
  <c r="N267" i="332"/>
  <c r="J266" i="332"/>
  <c r="Y264" i="332"/>
  <c r="K263" i="332"/>
  <c r="H262" i="332"/>
  <c r="L260" i="332"/>
  <c r="H259" i="332"/>
  <c r="L257" i="332"/>
  <c r="I256" i="332"/>
  <c r="M254" i="332"/>
  <c r="J253" i="332"/>
  <c r="Y250" i="332"/>
  <c r="I250" i="332"/>
  <c r="K249" i="332"/>
  <c r="M245" i="332"/>
  <c r="Y243" i="332"/>
  <c r="I243" i="332"/>
  <c r="K242" i="332"/>
  <c r="M241" i="332"/>
  <c r="Y239" i="332"/>
  <c r="I239" i="332"/>
  <c r="K238" i="332"/>
  <c r="M237" i="332"/>
  <c r="Y230" i="332"/>
  <c r="I230" i="332"/>
  <c r="K229" i="332"/>
  <c r="M228" i="332"/>
  <c r="Y226" i="332"/>
  <c r="I226" i="332"/>
  <c r="K225" i="332"/>
  <c r="M224" i="332"/>
  <c r="Y221" i="332"/>
  <c r="I221" i="332"/>
  <c r="K220" i="332"/>
  <c r="M219" i="332"/>
  <c r="Y216" i="332"/>
  <c r="I216" i="332"/>
  <c r="K215" i="332"/>
  <c r="M214" i="332"/>
  <c r="Y212" i="332"/>
  <c r="I212" i="332"/>
  <c r="K210" i="332"/>
  <c r="M206" i="332"/>
  <c r="Y203" i="332"/>
  <c r="I203" i="332"/>
  <c r="K202" i="332"/>
  <c r="M201" i="332"/>
  <c r="Y199" i="332"/>
  <c r="I199" i="332"/>
  <c r="M195" i="332"/>
  <c r="Y193" i="332"/>
  <c r="I193" i="332"/>
  <c r="K192" i="332"/>
  <c r="M181" i="332"/>
  <c r="Y179" i="332"/>
  <c r="I179" i="332"/>
  <c r="K178" i="332"/>
  <c r="M177" i="332"/>
  <c r="Y175" i="332"/>
  <c r="I175" i="332"/>
  <c r="K174" i="332"/>
  <c r="M173" i="332"/>
  <c r="Y171" i="332"/>
  <c r="I171" i="332"/>
  <c r="K170" i="332"/>
  <c r="M169" i="332"/>
  <c r="Y167" i="332"/>
  <c r="I167" i="332"/>
  <c r="K166" i="332"/>
  <c r="M165" i="332"/>
  <c r="Y163" i="332"/>
  <c r="I163" i="332"/>
  <c r="K162" i="332"/>
  <c r="M161" i="332"/>
  <c r="Y159" i="332"/>
  <c r="I159" i="332"/>
  <c r="K158" i="332"/>
  <c r="M157" i="332"/>
  <c r="Y155" i="332"/>
  <c r="I155" i="332"/>
  <c r="K150" i="332"/>
  <c r="M149" i="332"/>
  <c r="Y147" i="332"/>
  <c r="I147" i="332"/>
  <c r="K146" i="332"/>
  <c r="M145" i="332"/>
  <c r="Y143" i="332"/>
  <c r="I143" i="332"/>
  <c r="K142" i="332"/>
  <c r="M141" i="332"/>
  <c r="Y134" i="332"/>
  <c r="I134" i="332"/>
  <c r="K133" i="332"/>
  <c r="M132" i="332"/>
  <c r="Y130" i="332"/>
  <c r="I130" i="332"/>
  <c r="K129" i="332"/>
  <c r="M128" i="332"/>
  <c r="Y125" i="332"/>
  <c r="I125" i="332"/>
  <c r="K124" i="332"/>
  <c r="M123" i="332"/>
  <c r="J275" i="332"/>
  <c r="L267" i="332"/>
  <c r="I266" i="332"/>
  <c r="M264" i="332"/>
  <c r="J263" i="332"/>
  <c r="N261" i="332"/>
  <c r="J260" i="332"/>
  <c r="Y258" i="332"/>
  <c r="K257" i="332"/>
  <c r="H256" i="332"/>
  <c r="L254" i="332"/>
  <c r="H253" i="332"/>
  <c r="H250" i="332"/>
  <c r="J249" i="332"/>
  <c r="L245" i="332"/>
  <c r="H243" i="332"/>
  <c r="J242" i="332"/>
  <c r="L241" i="332"/>
  <c r="H239" i="332"/>
  <c r="J238" i="332"/>
  <c r="L237" i="332"/>
  <c r="H230" i="332"/>
  <c r="J229" i="332"/>
  <c r="L228" i="332"/>
  <c r="H226" i="332"/>
  <c r="J225" i="332"/>
  <c r="L224" i="332"/>
  <c r="H221" i="332"/>
  <c r="J220" i="332"/>
  <c r="L219" i="332"/>
  <c r="H216" i="332"/>
  <c r="J215" i="332"/>
  <c r="L214" i="332"/>
  <c r="H212" i="332"/>
  <c r="J210" i="332"/>
  <c r="L206" i="332"/>
  <c r="H203" i="332"/>
  <c r="J202" i="332"/>
  <c r="L201" i="332"/>
  <c r="H199" i="332"/>
  <c r="L195" i="332"/>
  <c r="H193" i="332"/>
  <c r="J192" i="332"/>
  <c r="L181" i="332"/>
  <c r="H179" i="332"/>
  <c r="J178" i="332"/>
  <c r="L177" i="332"/>
  <c r="H175" i="332"/>
  <c r="J174" i="332"/>
  <c r="L173" i="332"/>
  <c r="H171" i="332"/>
  <c r="J170" i="332"/>
  <c r="L169" i="332"/>
  <c r="H167" i="332"/>
  <c r="J166" i="332"/>
  <c r="L165" i="332"/>
  <c r="H163" i="332"/>
  <c r="J162" i="332"/>
  <c r="L161" i="332"/>
  <c r="H159" i="332"/>
  <c r="J158" i="332"/>
  <c r="L157" i="332"/>
  <c r="H155" i="332"/>
  <c r="J150" i="332"/>
  <c r="L149" i="332"/>
  <c r="H147" i="332"/>
  <c r="J146" i="332"/>
  <c r="L145" i="332"/>
  <c r="H143" i="332"/>
  <c r="J142" i="332"/>
  <c r="L141" i="332"/>
  <c r="N271" i="332"/>
  <c r="K267" i="332"/>
  <c r="H266" i="332"/>
  <c r="L264" i="332"/>
  <c r="H263" i="332"/>
  <c r="L261" i="332"/>
  <c r="I260" i="332"/>
  <c r="M258" i="332"/>
  <c r="J257" i="332"/>
  <c r="N255" i="332"/>
  <c r="J254" i="332"/>
  <c r="Y252" i="332"/>
  <c r="M251" i="332"/>
  <c r="Y249" i="332"/>
  <c r="I249" i="332"/>
  <c r="K245" i="332"/>
  <c r="M244" i="332"/>
  <c r="Y242" i="332"/>
  <c r="I242" i="332"/>
  <c r="K241" i="332"/>
  <c r="M240" i="332"/>
  <c r="Y238" i="332"/>
  <c r="I238" i="332"/>
  <c r="K237" i="332"/>
  <c r="M231" i="332"/>
  <c r="Y229" i="332"/>
  <c r="I229" i="332"/>
  <c r="K228" i="332"/>
  <c r="M227" i="332"/>
  <c r="Y225" i="332"/>
  <c r="I225" i="332"/>
  <c r="K224" i="332"/>
  <c r="M223" i="332"/>
  <c r="Y220" i="332"/>
  <c r="I220" i="332"/>
  <c r="K219" i="332"/>
  <c r="M218" i="332"/>
  <c r="Y215" i="332"/>
  <c r="I215" i="332"/>
  <c r="K214" i="332"/>
  <c r="M213" i="332"/>
  <c r="Y210" i="332"/>
  <c r="I210" i="332"/>
  <c r="K206" i="332"/>
  <c r="M204" i="332"/>
  <c r="Y202" i="332"/>
  <c r="I202" i="332"/>
  <c r="K201" i="332"/>
  <c r="M200" i="332"/>
  <c r="Y196" i="332"/>
  <c r="K195" i="332"/>
  <c r="K196" i="332" s="1"/>
  <c r="M194" i="332"/>
  <c r="Y192" i="332"/>
  <c r="I192" i="332"/>
  <c r="K181" i="332"/>
  <c r="M180" i="332"/>
  <c r="Y178" i="332"/>
  <c r="I178" i="332"/>
  <c r="K177" i="332"/>
  <c r="M176" i="332"/>
  <c r="Y174" i="332"/>
  <c r="I174" i="332"/>
  <c r="K173" i="332"/>
  <c r="M172" i="332"/>
  <c r="Y170" i="332"/>
  <c r="I170" i="332"/>
  <c r="K169" i="332"/>
  <c r="M168" i="332"/>
  <c r="Y166" i="332"/>
  <c r="I166" i="332"/>
  <c r="K165" i="332"/>
  <c r="M164" i="332"/>
  <c r="Y162" i="332"/>
  <c r="I162" i="332"/>
  <c r="K161" i="332"/>
  <c r="M160" i="332"/>
  <c r="Y158" i="332"/>
  <c r="I158" i="332"/>
  <c r="K157" i="332"/>
  <c r="M156" i="332"/>
  <c r="Y150" i="332"/>
  <c r="I150" i="332"/>
  <c r="K149" i="332"/>
  <c r="M148" i="332"/>
  <c r="Y146" i="332"/>
  <c r="I146" i="332"/>
  <c r="K145" i="332"/>
  <c r="M144" i="332"/>
  <c r="Y142" i="332"/>
  <c r="I142" i="332"/>
  <c r="K141" i="332"/>
  <c r="M135" i="332"/>
  <c r="Y133" i="332"/>
  <c r="I133" i="332"/>
  <c r="L274" i="332"/>
  <c r="K271" i="332"/>
  <c r="M270" i="332"/>
  <c r="J267" i="332"/>
  <c r="N265" i="332"/>
  <c r="J264" i="332"/>
  <c r="Y262" i="332"/>
  <c r="K261" i="332"/>
  <c r="H260" i="332"/>
  <c r="L258" i="332"/>
  <c r="H257" i="332"/>
  <c r="L255" i="332"/>
  <c r="I254" i="332"/>
  <c r="M252" i="332"/>
  <c r="L251" i="332"/>
  <c r="H249" i="332"/>
  <c r="J245" i="332"/>
  <c r="L244" i="332"/>
  <c r="H242" i="332"/>
  <c r="J241" i="332"/>
  <c r="L240" i="332"/>
  <c r="H238" i="332"/>
  <c r="J237" i="332"/>
  <c r="L231" i="332"/>
  <c r="H229" i="332"/>
  <c r="J228" i="332"/>
  <c r="L227" i="332"/>
  <c r="H225" i="332"/>
  <c r="J224" i="332"/>
  <c r="L223" i="332"/>
  <c r="H220" i="332"/>
  <c r="J219" i="332"/>
  <c r="L218" i="332"/>
  <c r="H215" i="332"/>
  <c r="J214" i="332"/>
  <c r="L213" i="332"/>
  <c r="H210" i="332"/>
  <c r="J206" i="332"/>
  <c r="L204" i="332"/>
  <c r="H202" i="332"/>
  <c r="J201" i="332"/>
  <c r="L200" i="332"/>
  <c r="J195" i="332"/>
  <c r="J196" i="332" s="1"/>
  <c r="L194" i="332"/>
  <c r="H192" i="332"/>
  <c r="J181" i="332"/>
  <c r="L180" i="332"/>
  <c r="H178" i="332"/>
  <c r="J177" i="332"/>
  <c r="L176" i="332"/>
  <c r="H174" i="332"/>
  <c r="J173" i="332"/>
  <c r="L172" i="332"/>
  <c r="H170" i="332"/>
  <c r="J169" i="332"/>
  <c r="L168" i="332"/>
  <c r="H166" i="332"/>
  <c r="J165" i="332"/>
  <c r="L164" i="332"/>
  <c r="H162" i="332"/>
  <c r="J161" i="332"/>
  <c r="L160" i="332"/>
  <c r="H158" i="332"/>
  <c r="J157" i="332"/>
  <c r="L156" i="332"/>
  <c r="H150" i="332"/>
  <c r="J149" i="332"/>
  <c r="L148" i="332"/>
  <c r="H146" i="332"/>
  <c r="J145" i="332"/>
  <c r="L144" i="332"/>
  <c r="H142" i="332"/>
  <c r="J141" i="332"/>
  <c r="L135" i="332"/>
  <c r="H133" i="332"/>
  <c r="J132" i="332"/>
  <c r="L131" i="332"/>
  <c r="H129" i="332"/>
  <c r="J128" i="332"/>
  <c r="L126" i="332"/>
  <c r="H124" i="332"/>
  <c r="J123" i="332"/>
  <c r="L121" i="332"/>
  <c r="H119" i="332"/>
  <c r="J118" i="332"/>
  <c r="L117" i="332"/>
  <c r="H274" i="332"/>
  <c r="L272" i="332"/>
  <c r="J271" i="332"/>
  <c r="L270" i="332"/>
  <c r="N269" i="332"/>
  <c r="H267" i="332"/>
  <c r="L265" i="332"/>
  <c r="I264" i="332"/>
  <c r="M262" i="332"/>
  <c r="J261" i="332"/>
  <c r="N259" i="332"/>
  <c r="J258" i="332"/>
  <c r="Y256" i="332"/>
  <c r="K255" i="332"/>
  <c r="H254" i="332"/>
  <c r="L252" i="332"/>
  <c r="K251" i="332"/>
  <c r="M250" i="332"/>
  <c r="Y245" i="332"/>
  <c r="I245" i="332"/>
  <c r="K244" i="332"/>
  <c r="M243" i="332"/>
  <c r="Y241" i="332"/>
  <c r="I241" i="332"/>
  <c r="K240" i="332"/>
  <c r="M239" i="332"/>
  <c r="Y237" i="332"/>
  <c r="I237" i="332"/>
  <c r="K231" i="332"/>
  <c r="M230" i="332"/>
  <c r="Y228" i="332"/>
  <c r="I228" i="332"/>
  <c r="K227" i="332"/>
  <c r="M226" i="332"/>
  <c r="Y224" i="332"/>
  <c r="I224" i="332"/>
  <c r="K223" i="332"/>
  <c r="M221" i="332"/>
  <c r="Y219" i="332"/>
  <c r="I219" i="332"/>
  <c r="K218" i="332"/>
  <c r="M216" i="332"/>
  <c r="Y214" i="332"/>
  <c r="I214" i="332"/>
  <c r="K213" i="332"/>
  <c r="M212" i="332"/>
  <c r="Y206" i="332"/>
  <c r="I206" i="332"/>
  <c r="K204" i="332"/>
  <c r="M203" i="332"/>
  <c r="Y201" i="332"/>
  <c r="I201" i="332"/>
  <c r="K200" i="332"/>
  <c r="M199" i="332"/>
  <c r="Y195" i="332"/>
  <c r="I195" i="332"/>
  <c r="I196" i="332" s="1"/>
  <c r="K194" i="332"/>
  <c r="M193" i="332"/>
  <c r="Y181" i="332"/>
  <c r="I181" i="332"/>
  <c r="K180" i="332"/>
  <c r="M179" i="332"/>
  <c r="Y177" i="332"/>
  <c r="I177" i="332"/>
  <c r="K176" i="332"/>
  <c r="M175" i="332"/>
  <c r="Y173" i="332"/>
  <c r="I173" i="332"/>
  <c r="K172" i="332"/>
  <c r="M171" i="332"/>
  <c r="Y169" i="332"/>
  <c r="I169" i="332"/>
  <c r="K168" i="332"/>
  <c r="M167" i="332"/>
  <c r="Y165" i="332"/>
  <c r="I165" i="332"/>
  <c r="K164" i="332"/>
  <c r="M163" i="332"/>
  <c r="Y161" i="332"/>
  <c r="I161" i="332"/>
  <c r="K160" i="332"/>
  <c r="M159" i="332"/>
  <c r="Y157" i="332"/>
  <c r="I157" i="332"/>
  <c r="K156" i="332"/>
  <c r="M155" i="332"/>
  <c r="Y149" i="332"/>
  <c r="I149" i="332"/>
  <c r="K148" i="332"/>
  <c r="M147" i="332"/>
  <c r="Y145" i="332"/>
  <c r="I145" i="332"/>
  <c r="K144" i="332"/>
  <c r="M143" i="332"/>
  <c r="Y141" i="332"/>
  <c r="I141" i="332"/>
  <c r="K135" i="332"/>
  <c r="M134" i="332"/>
  <c r="Y132" i="332"/>
  <c r="I132" i="332"/>
  <c r="K131" i="332"/>
  <c r="M130" i="332"/>
  <c r="Y128" i="332"/>
  <c r="I128" i="332"/>
  <c r="K126" i="332"/>
  <c r="M125" i="332"/>
  <c r="Y123" i="332"/>
  <c r="I123" i="332"/>
  <c r="H272" i="332"/>
  <c r="Y270" i="332"/>
  <c r="I270" i="332"/>
  <c r="K269" i="332"/>
  <c r="M268" i="332"/>
  <c r="Y266" i="332"/>
  <c r="K265" i="332"/>
  <c r="H264" i="332"/>
  <c r="L262" i="332"/>
  <c r="H261" i="332"/>
  <c r="L259" i="332"/>
  <c r="I258" i="332"/>
  <c r="M256" i="332"/>
  <c r="J255" i="332"/>
  <c r="N253" i="332"/>
  <c r="J252" i="332"/>
  <c r="J251" i="332"/>
  <c r="L250" i="332"/>
  <c r="H245" i="332"/>
  <c r="J244" i="332"/>
  <c r="L243" i="332"/>
  <c r="H241" i="332"/>
  <c r="J240" i="332"/>
  <c r="L239" i="332"/>
  <c r="H237" i="332"/>
  <c r="J231" i="332"/>
  <c r="L230" i="332"/>
  <c r="H228" i="332"/>
  <c r="J227" i="332"/>
  <c r="L226" i="332"/>
  <c r="H224" i="332"/>
  <c r="J223" i="332"/>
  <c r="L221" i="332"/>
  <c r="H219" i="332"/>
  <c r="J218" i="332"/>
  <c r="L216" i="332"/>
  <c r="H214" i="332"/>
  <c r="J213" i="332"/>
  <c r="L212" i="332"/>
  <c r="H206" i="332"/>
  <c r="J204" i="332"/>
  <c r="L203" i="332"/>
  <c r="H201" i="332"/>
  <c r="J200" i="332"/>
  <c r="L199" i="332"/>
  <c r="H195" i="332"/>
  <c r="H196" i="332" s="1"/>
  <c r="J194" i="332"/>
  <c r="L193" i="332"/>
  <c r="H181" i="332"/>
  <c r="J180" i="332"/>
  <c r="L179" i="332"/>
  <c r="H177" i="332"/>
  <c r="J176" i="332"/>
  <c r="L175" i="332"/>
  <c r="H173" i="332"/>
  <c r="J172" i="332"/>
  <c r="L171" i="332"/>
  <c r="H169" i="332"/>
  <c r="J168" i="332"/>
  <c r="L167" i="332"/>
  <c r="H165" i="332"/>
  <c r="J164" i="332"/>
  <c r="L163" i="332"/>
  <c r="H161" i="332"/>
  <c r="J160" i="332"/>
  <c r="L159" i="332"/>
  <c r="H157" i="332"/>
  <c r="J156" i="332"/>
  <c r="L155" i="332"/>
  <c r="H149" i="332"/>
  <c r="J148" i="332"/>
  <c r="L147" i="332"/>
  <c r="H145" i="332"/>
  <c r="J144" i="332"/>
  <c r="L143" i="332"/>
  <c r="H270" i="332"/>
  <c r="J269" i="332"/>
  <c r="L268" i="332"/>
  <c r="M266" i="332"/>
  <c r="J265" i="332"/>
  <c r="N263" i="332"/>
  <c r="J262" i="332"/>
  <c r="Y260" i="332"/>
  <c r="K259" i="332"/>
  <c r="H258" i="332"/>
  <c r="L256" i="332"/>
  <c r="H255" i="332"/>
  <c r="L253" i="332"/>
  <c r="I252" i="332"/>
  <c r="I251" i="332"/>
  <c r="K250" i="332"/>
  <c r="M249" i="332"/>
  <c r="Y244" i="332"/>
  <c r="I244" i="332"/>
  <c r="K243" i="332"/>
  <c r="M242" i="332"/>
  <c r="Y240" i="332"/>
  <c r="I240" i="332"/>
  <c r="K239" i="332"/>
  <c r="M238" i="332"/>
  <c r="Y231" i="332"/>
  <c r="I231" i="332"/>
  <c r="K230" i="332"/>
  <c r="M229" i="332"/>
  <c r="Y227" i="332"/>
  <c r="I227" i="332"/>
  <c r="K226" i="332"/>
  <c r="M225" i="332"/>
  <c r="Y223" i="332"/>
  <c r="I223" i="332"/>
  <c r="K221" i="332"/>
  <c r="M220" i="332"/>
  <c r="Y218" i="332"/>
  <c r="I218" i="332"/>
  <c r="K216" i="332"/>
  <c r="M215" i="332"/>
  <c r="Y213" i="332"/>
  <c r="I213" i="332"/>
  <c r="K212" i="332"/>
  <c r="M210" i="332"/>
  <c r="Y204" i="332"/>
  <c r="I204" i="332"/>
  <c r="K203" i="332"/>
  <c r="M202" i="332"/>
  <c r="Y200" i="332"/>
  <c r="I200" i="332"/>
  <c r="K199" i="332"/>
  <c r="M196" i="332"/>
  <c r="Y194" i="332"/>
  <c r="I194" i="332"/>
  <c r="K193" i="332"/>
  <c r="M192" i="332"/>
  <c r="Y180" i="332"/>
  <c r="I180" i="332"/>
  <c r="K179" i="332"/>
  <c r="M178" i="332"/>
  <c r="Y176" i="332"/>
  <c r="I176" i="332"/>
  <c r="K175" i="332"/>
  <c r="M174" i="332"/>
  <c r="Y172" i="332"/>
  <c r="I172" i="332"/>
  <c r="K171" i="332"/>
  <c r="M170" i="332"/>
  <c r="Y168" i="332"/>
  <c r="I168" i="332"/>
  <c r="K167" i="332"/>
  <c r="M166" i="332"/>
  <c r="Y164" i="332"/>
  <c r="I164" i="332"/>
  <c r="K163" i="332"/>
  <c r="M162" i="332"/>
  <c r="Y160" i="332"/>
  <c r="I160" i="332"/>
  <c r="K159" i="332"/>
  <c r="M158" i="332"/>
  <c r="Y156" i="332"/>
  <c r="I156" i="332"/>
  <c r="K155" i="332"/>
  <c r="M150" i="332"/>
  <c r="Y148" i="332"/>
  <c r="I148" i="332"/>
  <c r="K147" i="332"/>
  <c r="M146" i="332"/>
  <c r="Y144" i="332"/>
  <c r="I144" i="332"/>
  <c r="K143" i="332"/>
  <c r="M142" i="332"/>
  <c r="Y135" i="332"/>
  <c r="N273" i="332"/>
  <c r="Y268" i="332"/>
  <c r="I268" i="332"/>
  <c r="O267" i="332"/>
  <c r="L266" i="332"/>
  <c r="H265" i="332"/>
  <c r="L263" i="332"/>
  <c r="I262" i="332"/>
  <c r="M260" i="332"/>
  <c r="J259" i="332"/>
  <c r="N257" i="332"/>
  <c r="J256" i="332"/>
  <c r="Y254" i="332"/>
  <c r="N254" i="332"/>
  <c r="K253" i="332"/>
  <c r="H252" i="332"/>
  <c r="H251" i="332"/>
  <c r="J250" i="332"/>
  <c r="L249" i="332"/>
  <c r="N245" i="332"/>
  <c r="H244" i="332"/>
  <c r="J243" i="332"/>
  <c r="L242" i="332"/>
  <c r="N241" i="332"/>
  <c r="H240" i="332"/>
  <c r="J239" i="332"/>
  <c r="L238" i="332"/>
  <c r="N237" i="332"/>
  <c r="H231" i="332"/>
  <c r="J230" i="332"/>
  <c r="L229" i="332"/>
  <c r="N228" i="332"/>
  <c r="H227" i="332"/>
  <c r="J226" i="332"/>
  <c r="L225" i="332"/>
  <c r="N224" i="332"/>
  <c r="H223" i="332"/>
  <c r="J221" i="332"/>
  <c r="L220" i="332"/>
  <c r="N219" i="332"/>
  <c r="H218" i="332"/>
  <c r="J216" i="332"/>
  <c r="L215" i="332"/>
  <c r="N214" i="332"/>
  <c r="H213" i="332"/>
  <c r="J212" i="332"/>
  <c r="L210" i="332"/>
  <c r="N206" i="332"/>
  <c r="H204" i="332"/>
  <c r="J203" i="332"/>
  <c r="L202" i="332"/>
  <c r="N201" i="332"/>
  <c r="H200" i="332"/>
  <c r="J199" i="332"/>
  <c r="L196" i="332"/>
  <c r="N195" i="332"/>
  <c r="H194" i="332"/>
  <c r="J193" i="332"/>
  <c r="L192" i="332"/>
  <c r="N181" i="332"/>
  <c r="H180" i="332"/>
  <c r="J179" i="332"/>
  <c r="L178" i="332"/>
  <c r="N177" i="332"/>
  <c r="H176" i="332"/>
  <c r="J175" i="332"/>
  <c r="L174" i="332"/>
  <c r="N173" i="332"/>
  <c r="H172" i="332"/>
  <c r="J171" i="332"/>
  <c r="L170" i="332"/>
  <c r="N169" i="332"/>
  <c r="H168" i="332"/>
  <c r="J167" i="332"/>
  <c r="L166" i="332"/>
  <c r="N165" i="332"/>
  <c r="H164" i="332"/>
  <c r="J163" i="332"/>
  <c r="L162" i="332"/>
  <c r="N161" i="332"/>
  <c r="H160" i="332"/>
  <c r="J159" i="332"/>
  <c r="L158" i="332"/>
  <c r="N157" i="332"/>
  <c r="H156" i="332"/>
  <c r="J155" i="332"/>
  <c r="L150" i="332"/>
  <c r="N149" i="332"/>
  <c r="H148" i="332"/>
  <c r="J147" i="332"/>
  <c r="L146" i="332"/>
  <c r="N145" i="332"/>
  <c r="H144" i="332"/>
  <c r="J143" i="332"/>
  <c r="L142" i="332"/>
  <c r="N141" i="332"/>
  <c r="H135" i="332"/>
  <c r="J134" i="332"/>
  <c r="L133" i="332"/>
  <c r="N132" i="332"/>
  <c r="H131" i="332"/>
  <c r="J130" i="332"/>
  <c r="L129" i="332"/>
  <c r="N128" i="332"/>
  <c r="H126" i="332"/>
  <c r="J125" i="332"/>
  <c r="L124" i="332"/>
  <c r="N123" i="332"/>
  <c r="H121" i="332"/>
  <c r="J120" i="332"/>
  <c r="L119" i="332"/>
  <c r="H117" i="332"/>
  <c r="J116" i="332"/>
  <c r="L114" i="332"/>
  <c r="H141" i="332"/>
  <c r="L134" i="332"/>
  <c r="J133" i="332"/>
  <c r="K132" i="332"/>
  <c r="M131" i="332"/>
  <c r="Y124" i="332"/>
  <c r="I124" i="332"/>
  <c r="K123" i="332"/>
  <c r="K120" i="332"/>
  <c r="Y118" i="332"/>
  <c r="K117" i="332"/>
  <c r="H116" i="332"/>
  <c r="H114" i="332"/>
  <c r="J110" i="332"/>
  <c r="L108" i="332"/>
  <c r="H106" i="332"/>
  <c r="J105" i="332"/>
  <c r="L104" i="332"/>
  <c r="J99" i="332"/>
  <c r="L98" i="332"/>
  <c r="H96" i="332"/>
  <c r="J95" i="332"/>
  <c r="L92" i="332"/>
  <c r="H88" i="332"/>
  <c r="J87" i="332"/>
  <c r="L86" i="332"/>
  <c r="H84" i="332"/>
  <c r="J82" i="332"/>
  <c r="M80" i="332"/>
  <c r="M77" i="332"/>
  <c r="Y74" i="332"/>
  <c r="I74" i="332"/>
  <c r="K71" i="332"/>
  <c r="M70" i="332"/>
  <c r="Y66" i="332"/>
  <c r="I66" i="332"/>
  <c r="K65" i="332"/>
  <c r="M64" i="332"/>
  <c r="Y61" i="332"/>
  <c r="I61" i="332"/>
  <c r="K60" i="332"/>
  <c r="M56" i="332"/>
  <c r="Y51" i="332"/>
  <c r="I51" i="332"/>
  <c r="K49" i="332"/>
  <c r="M48" i="332"/>
  <c r="Y45" i="332"/>
  <c r="I45" i="332"/>
  <c r="K44" i="332"/>
  <c r="M42" i="332"/>
  <c r="Y39" i="332"/>
  <c r="I39" i="332"/>
  <c r="K38" i="332"/>
  <c r="M36" i="332"/>
  <c r="Y31" i="332"/>
  <c r="I31" i="332"/>
  <c r="K30" i="332"/>
  <c r="M29" i="332"/>
  <c r="Y27" i="332"/>
  <c r="I27" i="332"/>
  <c r="K26" i="332"/>
  <c r="M24" i="332"/>
  <c r="Y22" i="332"/>
  <c r="I22" i="332"/>
  <c r="K20" i="332"/>
  <c r="M17" i="332"/>
  <c r="Y15" i="332"/>
  <c r="I15" i="332"/>
  <c r="K14" i="332"/>
  <c r="M13" i="332"/>
  <c r="Y11" i="332"/>
  <c r="I11" i="332"/>
  <c r="K134" i="332"/>
  <c r="H132" i="332"/>
  <c r="J131" i="332"/>
  <c r="L130" i="332"/>
  <c r="H123" i="332"/>
  <c r="M121" i="332"/>
  <c r="I120" i="332"/>
  <c r="M118" i="332"/>
  <c r="J117" i="332"/>
  <c r="Y114" i="332"/>
  <c r="Y110" i="332"/>
  <c r="I110" i="332"/>
  <c r="K108" i="332"/>
  <c r="M107" i="332"/>
  <c r="Y105" i="332"/>
  <c r="I105" i="332"/>
  <c r="K104" i="332"/>
  <c r="M103" i="332"/>
  <c r="Y99" i="332"/>
  <c r="I99" i="332"/>
  <c r="K98" i="332"/>
  <c r="M97" i="332"/>
  <c r="Y95" i="332"/>
  <c r="I95" i="332"/>
  <c r="K92" i="332"/>
  <c r="M89" i="332"/>
  <c r="Y87" i="332"/>
  <c r="I87" i="332"/>
  <c r="K86" i="332"/>
  <c r="M85" i="332"/>
  <c r="Y82" i="332"/>
  <c r="I82" i="332"/>
  <c r="J80" i="332"/>
  <c r="L77" i="332"/>
  <c r="H74" i="332"/>
  <c r="J71" i="332"/>
  <c r="L70" i="332"/>
  <c r="H66" i="332"/>
  <c r="J65" i="332"/>
  <c r="L64" i="332"/>
  <c r="H61" i="332"/>
  <c r="J60" i="332"/>
  <c r="L56" i="332"/>
  <c r="H51" i="332"/>
  <c r="J49" i="332"/>
  <c r="L48" i="332"/>
  <c r="H45" i="332"/>
  <c r="J44" i="332"/>
  <c r="L42" i="332"/>
  <c r="H39" i="332"/>
  <c r="J38" i="332"/>
  <c r="L36" i="332"/>
  <c r="H31" i="332"/>
  <c r="J30" i="332"/>
  <c r="L29" i="332"/>
  <c r="H27" i="332"/>
  <c r="J26" i="332"/>
  <c r="L24" i="332"/>
  <c r="H22" i="332"/>
  <c r="J20" i="332"/>
  <c r="L17" i="332"/>
  <c r="H15" i="332"/>
  <c r="J14" i="332"/>
  <c r="L13" i="332"/>
  <c r="H11" i="332"/>
  <c r="J135" i="332"/>
  <c r="H134" i="332"/>
  <c r="Y131" i="332"/>
  <c r="I131" i="332"/>
  <c r="K130" i="332"/>
  <c r="M129" i="332"/>
  <c r="O128" i="332"/>
  <c r="Y121" i="332"/>
  <c r="K121" i="332"/>
  <c r="H120" i="332"/>
  <c r="L118" i="332"/>
  <c r="I117" i="332"/>
  <c r="H110" i="332"/>
  <c r="J108" i="332"/>
  <c r="L107" i="332"/>
  <c r="H105" i="332"/>
  <c r="J104" i="332"/>
  <c r="L103" i="332"/>
  <c r="H99" i="332"/>
  <c r="H100" i="332" s="1"/>
  <c r="J98" i="332"/>
  <c r="L97" i="332"/>
  <c r="H95" i="332"/>
  <c r="J92" i="332"/>
  <c r="L89" i="332"/>
  <c r="H87" i="332"/>
  <c r="J86" i="332"/>
  <c r="L85" i="332"/>
  <c r="H82" i="332"/>
  <c r="I80" i="332"/>
  <c r="K77" i="332"/>
  <c r="M76" i="332"/>
  <c r="Y71" i="332"/>
  <c r="I71" i="332"/>
  <c r="K70" i="332"/>
  <c r="M67" i="332"/>
  <c r="Y65" i="332"/>
  <c r="I65" i="332"/>
  <c r="K64" i="332"/>
  <c r="M62" i="332"/>
  <c r="Y60" i="332"/>
  <c r="I60" i="332"/>
  <c r="K56" i="332"/>
  <c r="M54" i="332"/>
  <c r="Y49" i="332"/>
  <c r="I49" i="332"/>
  <c r="K48" i="332"/>
  <c r="M47" i="332"/>
  <c r="Y44" i="332"/>
  <c r="I44" i="332"/>
  <c r="K42" i="332"/>
  <c r="M41" i="332"/>
  <c r="Y38" i="332"/>
  <c r="I38" i="332"/>
  <c r="K36" i="332"/>
  <c r="M35" i="332"/>
  <c r="Y30" i="332"/>
  <c r="I30" i="332"/>
  <c r="K29" i="332"/>
  <c r="M28" i="332"/>
  <c r="Y26" i="332"/>
  <c r="I26" i="332"/>
  <c r="K24" i="332"/>
  <c r="M23" i="332"/>
  <c r="Y20" i="332"/>
  <c r="I20" i="332"/>
  <c r="K17" i="332"/>
  <c r="M16" i="332"/>
  <c r="Y14" i="332"/>
  <c r="I14" i="332"/>
  <c r="K13" i="332"/>
  <c r="M12" i="332"/>
  <c r="I135" i="332"/>
  <c r="H130" i="332"/>
  <c r="J129" i="332"/>
  <c r="L128" i="332"/>
  <c r="J121" i="332"/>
  <c r="Y119" i="332"/>
  <c r="K118" i="332"/>
  <c r="Y116" i="332"/>
  <c r="Y108" i="332"/>
  <c r="I108" i="332"/>
  <c r="K107" i="332"/>
  <c r="M106" i="332"/>
  <c r="Y104" i="332"/>
  <c r="I104" i="332"/>
  <c r="K103" i="332"/>
  <c r="Y98" i="332"/>
  <c r="I98" i="332"/>
  <c r="K97" i="332"/>
  <c r="M96" i="332"/>
  <c r="Y92" i="332"/>
  <c r="I92" i="332"/>
  <c r="K89" i="332"/>
  <c r="M88" i="332"/>
  <c r="Y86" i="332"/>
  <c r="I86" i="332"/>
  <c r="K85" i="332"/>
  <c r="M84" i="332"/>
  <c r="H81" i="332"/>
  <c r="H80" i="332"/>
  <c r="J77" i="332"/>
  <c r="L76" i="332"/>
  <c r="H71" i="332"/>
  <c r="J70" i="332"/>
  <c r="L67" i="332"/>
  <c r="H65" i="332"/>
  <c r="J64" i="332"/>
  <c r="L62" i="332"/>
  <c r="H60" i="332"/>
  <c r="J56" i="332"/>
  <c r="L54" i="332"/>
  <c r="H49" i="332"/>
  <c r="J48" i="332"/>
  <c r="L47" i="332"/>
  <c r="H44" i="332"/>
  <c r="J42" i="332"/>
  <c r="L41" i="332"/>
  <c r="H38" i="332"/>
  <c r="J36" i="332"/>
  <c r="L35" i="332"/>
  <c r="H30" i="332"/>
  <c r="J29" i="332"/>
  <c r="L28" i="332"/>
  <c r="H26" i="332"/>
  <c r="J24" i="332"/>
  <c r="L23" i="332"/>
  <c r="H20" i="332"/>
  <c r="J17" i="332"/>
  <c r="L16" i="332"/>
  <c r="H14" i="332"/>
  <c r="J13" i="332"/>
  <c r="L12" i="332"/>
  <c r="Y129" i="332"/>
  <c r="I129" i="332"/>
  <c r="K128" i="332"/>
  <c r="M126" i="332"/>
  <c r="I121" i="332"/>
  <c r="M119" i="332"/>
  <c r="I118" i="332"/>
  <c r="M116" i="332"/>
  <c r="M114" i="332"/>
  <c r="H108" i="332"/>
  <c r="J107" i="332"/>
  <c r="L106" i="332"/>
  <c r="H104" i="332"/>
  <c r="J103" i="332"/>
  <c r="H98" i="332"/>
  <c r="J97" i="332"/>
  <c r="L96" i="332"/>
  <c r="H92" i="332"/>
  <c r="J89" i="332"/>
  <c r="L88" i="332"/>
  <c r="H86" i="332"/>
  <c r="J85" i="332"/>
  <c r="L84" i="332"/>
  <c r="Y80" i="332"/>
  <c r="Y77" i="332"/>
  <c r="I77" i="332"/>
  <c r="K76" i="332"/>
  <c r="M74" i="332"/>
  <c r="Y70" i="332"/>
  <c r="I70" i="332"/>
  <c r="K67" i="332"/>
  <c r="M66" i="332"/>
  <c r="Y64" i="332"/>
  <c r="I64" i="332"/>
  <c r="K62" i="332"/>
  <c r="M61" i="332"/>
  <c r="Y56" i="332"/>
  <c r="I56" i="332"/>
  <c r="K54" i="332"/>
  <c r="M51" i="332"/>
  <c r="Y48" i="332"/>
  <c r="I48" i="332"/>
  <c r="K47" i="332"/>
  <c r="M45" i="332"/>
  <c r="Y42" i="332"/>
  <c r="I42" i="332"/>
  <c r="K41" i="332"/>
  <c r="M39" i="332"/>
  <c r="Y36" i="332"/>
  <c r="I36" i="332"/>
  <c r="K35" i="332"/>
  <c r="M31" i="332"/>
  <c r="Y29" i="332"/>
  <c r="I29" i="332"/>
  <c r="K28" i="332"/>
  <c r="M27" i="332"/>
  <c r="Y24" i="332"/>
  <c r="I24" i="332"/>
  <c r="K23" i="332"/>
  <c r="M22" i="332"/>
  <c r="Y17" i="332"/>
  <c r="I17" i="332"/>
  <c r="K16" i="332"/>
  <c r="M15" i="332"/>
  <c r="Y13" i="332"/>
  <c r="I13" i="332"/>
  <c r="K12" i="332"/>
  <c r="M11" i="332"/>
  <c r="H128" i="332"/>
  <c r="J126" i="332"/>
  <c r="L125" i="332"/>
  <c r="Y120" i="332"/>
  <c r="K119" i="332"/>
  <c r="H118" i="332"/>
  <c r="L116" i="332"/>
  <c r="K114" i="332"/>
  <c r="M110" i="332"/>
  <c r="Y107" i="332"/>
  <c r="I107" i="332"/>
  <c r="K106" i="332"/>
  <c r="M105" i="332"/>
  <c r="Y103" i="332"/>
  <c r="I103" i="332"/>
  <c r="M99" i="332"/>
  <c r="Y97" i="332"/>
  <c r="I97" i="332"/>
  <c r="K96" i="332"/>
  <c r="M95" i="332"/>
  <c r="Y89" i="332"/>
  <c r="I89" i="332"/>
  <c r="K88" i="332"/>
  <c r="M87" i="332"/>
  <c r="Y85" i="332"/>
  <c r="I85" i="332"/>
  <c r="K84" i="332"/>
  <c r="M82" i="332"/>
  <c r="H77" i="332"/>
  <c r="J76" i="332"/>
  <c r="L74" i="332"/>
  <c r="H70" i="332"/>
  <c r="J67" i="332"/>
  <c r="L66" i="332"/>
  <c r="H64" i="332"/>
  <c r="J62" i="332"/>
  <c r="L61" i="332"/>
  <c r="H56" i="332"/>
  <c r="J54" i="332"/>
  <c r="L51" i="332"/>
  <c r="H48" i="332"/>
  <c r="J47" i="332"/>
  <c r="L45" i="332"/>
  <c r="H42" i="332"/>
  <c r="J41" i="332"/>
  <c r="L39" i="332"/>
  <c r="H36" i="332"/>
  <c r="J35" i="332"/>
  <c r="L31" i="332"/>
  <c r="H29" i="332"/>
  <c r="J28" i="332"/>
  <c r="L27" i="332"/>
  <c r="H24" i="332"/>
  <c r="J23" i="332"/>
  <c r="L22" i="332"/>
  <c r="H17" i="332"/>
  <c r="J16" i="332"/>
  <c r="L15" i="332"/>
  <c r="H13" i="332"/>
  <c r="J12" i="332"/>
  <c r="L11" i="332"/>
  <c r="O132" i="332"/>
  <c r="Y126" i="332"/>
  <c r="I126" i="332"/>
  <c r="K125" i="332"/>
  <c r="M124" i="332"/>
  <c r="O123" i="332"/>
  <c r="M120" i="332"/>
  <c r="J119" i="332"/>
  <c r="Y117" i="332"/>
  <c r="K116" i="332"/>
  <c r="J114" i="332"/>
  <c r="L110" i="332"/>
  <c r="H107" i="332"/>
  <c r="J106" i="332"/>
  <c r="L105" i="332"/>
  <c r="H103" i="332"/>
  <c r="J100" i="332"/>
  <c r="L99" i="332"/>
  <c r="L100" i="332" s="1"/>
  <c r="H97" i="332"/>
  <c r="J96" i="332"/>
  <c r="L95" i="332"/>
  <c r="H89" i="332"/>
  <c r="J88" i="332"/>
  <c r="L87" i="332"/>
  <c r="H85" i="332"/>
  <c r="J84" i="332"/>
  <c r="L82" i="332"/>
  <c r="Y76" i="332"/>
  <c r="I76" i="332"/>
  <c r="K74" i="332"/>
  <c r="M71" i="332"/>
  <c r="Y67" i="332"/>
  <c r="I67" i="332"/>
  <c r="K66" i="332"/>
  <c r="M65" i="332"/>
  <c r="Y62" i="332"/>
  <c r="I62" i="332"/>
  <c r="K61" i="332"/>
  <c r="M60" i="332"/>
  <c r="Y54" i="332"/>
  <c r="I54" i="332"/>
  <c r="K51" i="332"/>
  <c r="M49" i="332"/>
  <c r="Y47" i="332"/>
  <c r="I47" i="332"/>
  <c r="K45" i="332"/>
  <c r="M44" i="332"/>
  <c r="Y41" i="332"/>
  <c r="I41" i="332"/>
  <c r="K39" i="332"/>
  <c r="M38" i="332"/>
  <c r="Y35" i="332"/>
  <c r="I35" i="332"/>
  <c r="K31" i="332"/>
  <c r="M30" i="332"/>
  <c r="Y28" i="332"/>
  <c r="I28" i="332"/>
  <c r="K27" i="332"/>
  <c r="M26" i="332"/>
  <c r="Y23" i="332"/>
  <c r="I23" i="332"/>
  <c r="K22" i="332"/>
  <c r="M20" i="332"/>
  <c r="Y16" i="332"/>
  <c r="I16" i="332"/>
  <c r="K15" i="332"/>
  <c r="M14" i="332"/>
  <c r="Y12" i="332"/>
  <c r="I12" i="332"/>
  <c r="K11" i="332"/>
  <c r="M133" i="332"/>
  <c r="L132" i="332"/>
  <c r="N131" i="332"/>
  <c r="H125" i="332"/>
  <c r="J124" i="332"/>
  <c r="L123" i="332"/>
  <c r="L120" i="332"/>
  <c r="I119" i="332"/>
  <c r="M117" i="332"/>
  <c r="I116" i="332"/>
  <c r="I114" i="332"/>
  <c r="K110" i="332"/>
  <c r="M108" i="332"/>
  <c r="Y106" i="332"/>
  <c r="I106" i="332"/>
  <c r="K105" i="332"/>
  <c r="M104" i="332"/>
  <c r="Y100" i="332"/>
  <c r="I100" i="332"/>
  <c r="K99" i="332"/>
  <c r="K100" i="332" s="1"/>
  <c r="M98" i="332"/>
  <c r="Y96" i="332"/>
  <c r="I96" i="332"/>
  <c r="K95" i="332"/>
  <c r="M92" i="332"/>
  <c r="Y88" i="332"/>
  <c r="I88" i="332"/>
  <c r="K87" i="332"/>
  <c r="M86" i="332"/>
  <c r="Y84" i="332"/>
  <c r="I84" i="332"/>
  <c r="K82" i="332"/>
  <c r="N80" i="332"/>
  <c r="N77" i="332"/>
  <c r="H76" i="332"/>
  <c r="J74" i="332"/>
  <c r="L71" i="332"/>
  <c r="N70" i="332"/>
  <c r="H67" i="332"/>
  <c r="J66" i="332"/>
  <c r="L65" i="332"/>
  <c r="N64" i="332"/>
  <c r="H62" i="332"/>
  <c r="J61" i="332"/>
  <c r="L60" i="332"/>
  <c r="N56" i="332"/>
  <c r="H54" i="332"/>
  <c r="J51" i="332"/>
  <c r="L49" i="332"/>
  <c r="N48" i="332"/>
  <c r="H47" i="332"/>
  <c r="J45" i="332"/>
  <c r="L44" i="332"/>
  <c r="N42" i="332"/>
  <c r="H41" i="332"/>
  <c r="J39" i="332"/>
  <c r="L38" i="332"/>
  <c r="N36" i="332"/>
  <c r="H35" i="332"/>
  <c r="J31" i="332"/>
  <c r="L30" i="332"/>
  <c r="N29" i="332"/>
  <c r="H28" i="332"/>
  <c r="J27" i="332"/>
  <c r="L26" i="332"/>
  <c r="N24" i="332"/>
  <c r="H23" i="332"/>
  <c r="J22" i="332"/>
  <c r="L20" i="332"/>
  <c r="N17" i="332"/>
  <c r="H16" i="332"/>
  <c r="J15" i="332"/>
  <c r="L14" i="332"/>
  <c r="N13" i="332"/>
  <c r="H12" i="332"/>
  <c r="J11" i="332"/>
  <c r="N358" i="332"/>
  <c r="N357" i="332"/>
  <c r="N348" i="332"/>
  <c r="N346" i="332"/>
  <c r="N345" i="332"/>
  <c r="N344" i="332"/>
  <c r="N343" i="332"/>
  <c r="N342" i="332"/>
  <c r="N341" i="332"/>
  <c r="N277" i="332"/>
  <c r="N272" i="332"/>
  <c r="N275" i="332"/>
  <c r="O275" i="332"/>
  <c r="P275" i="332"/>
  <c r="N282" i="332"/>
  <c r="O282" i="332"/>
  <c r="P282" i="332"/>
  <c r="Q282" i="332"/>
  <c r="R282" i="332"/>
  <c r="N274" i="332"/>
  <c r="O274" i="332"/>
  <c r="P274" i="332"/>
  <c r="Q274" i="332"/>
  <c r="R274" i="332"/>
  <c r="N278" i="332"/>
  <c r="O278" i="332"/>
  <c r="P278" i="332"/>
  <c r="Q278" i="332"/>
  <c r="R278" i="332"/>
  <c r="S278" i="332"/>
  <c r="T278" i="332"/>
  <c r="O273" i="332"/>
  <c r="P273" i="332"/>
  <c r="Q273" i="332"/>
  <c r="O254" i="332"/>
  <c r="N264" i="332"/>
  <c r="O264" i="332"/>
  <c r="O261" i="332"/>
  <c r="O271" i="332"/>
  <c r="N258" i="332"/>
  <c r="O258" i="332"/>
  <c r="O255" i="332"/>
  <c r="P255" i="332"/>
  <c r="Q255" i="332"/>
  <c r="N251" i="332"/>
  <c r="O251" i="332"/>
  <c r="N244" i="332"/>
  <c r="O244" i="332"/>
  <c r="N240" i="332"/>
  <c r="O240" i="332"/>
  <c r="N231" i="332"/>
  <c r="O231" i="332"/>
  <c r="N227" i="332"/>
  <c r="O227" i="332"/>
  <c r="N223" i="332"/>
  <c r="O223" i="332"/>
  <c r="N218" i="332"/>
  <c r="O218" i="332"/>
  <c r="N213" i="332"/>
  <c r="O213" i="332"/>
  <c r="N204" i="332"/>
  <c r="O204" i="332"/>
  <c r="N200" i="332"/>
  <c r="O200" i="332"/>
  <c r="N194" i="332"/>
  <c r="O194" i="332"/>
  <c r="N180" i="332"/>
  <c r="O180" i="332"/>
  <c r="N176" i="332"/>
  <c r="O176" i="332"/>
  <c r="N172" i="332"/>
  <c r="O172" i="332"/>
  <c r="N168" i="332"/>
  <c r="O168" i="332"/>
  <c r="N164" i="332"/>
  <c r="O164" i="332"/>
  <c r="N160" i="332"/>
  <c r="O160" i="332"/>
  <c r="N156" i="332"/>
  <c r="O156" i="332"/>
  <c r="N148" i="332"/>
  <c r="O148" i="332"/>
  <c r="N144" i="332"/>
  <c r="O144" i="332"/>
  <c r="N135" i="332"/>
  <c r="O135" i="332"/>
  <c r="N270" i="332"/>
  <c r="O270" i="332"/>
  <c r="O265" i="332"/>
  <c r="P265" i="332"/>
  <c r="N252" i="332"/>
  <c r="O252" i="332"/>
  <c r="O269" i="332"/>
  <c r="N262" i="332"/>
  <c r="O262" i="332"/>
  <c r="O259" i="332"/>
  <c r="P259" i="332"/>
  <c r="Q259" i="332"/>
  <c r="N250" i="332"/>
  <c r="O250" i="332"/>
  <c r="P250" i="332"/>
  <c r="Q250" i="332"/>
  <c r="N243" i="332"/>
  <c r="O243" i="332"/>
  <c r="P243" i="332"/>
  <c r="Q243" i="332"/>
  <c r="N239" i="332"/>
  <c r="O239" i="332"/>
  <c r="P239" i="332"/>
  <c r="Q239" i="332"/>
  <c r="N230" i="332"/>
  <c r="O230" i="332"/>
  <c r="P230" i="332"/>
  <c r="Q230" i="332"/>
  <c r="N226" i="332"/>
  <c r="O226" i="332"/>
  <c r="P226" i="332"/>
  <c r="Q226" i="332"/>
  <c r="N221" i="332"/>
  <c r="O221" i="332"/>
  <c r="P221" i="332"/>
  <c r="Q221" i="332"/>
  <c r="N216" i="332"/>
  <c r="O216" i="332"/>
  <c r="P216" i="332"/>
  <c r="Q216" i="332"/>
  <c r="N212" i="332"/>
  <c r="O212" i="332"/>
  <c r="P212" i="332"/>
  <c r="Q212" i="332"/>
  <c r="N203" i="332"/>
  <c r="O203" i="332"/>
  <c r="P203" i="332"/>
  <c r="Q203" i="332"/>
  <c r="N199" i="332"/>
  <c r="O199" i="332"/>
  <c r="P199" i="332"/>
  <c r="Q199" i="332"/>
  <c r="N193" i="332"/>
  <c r="O193" i="332"/>
  <c r="P193" i="332"/>
  <c r="Q193" i="332"/>
  <c r="N179" i="332"/>
  <c r="O179" i="332"/>
  <c r="P179" i="332"/>
  <c r="Q179" i="332"/>
  <c r="N175" i="332"/>
  <c r="O175" i="332"/>
  <c r="P175" i="332"/>
  <c r="Q175" i="332"/>
  <c r="N171" i="332"/>
  <c r="O171" i="332"/>
  <c r="P171" i="332"/>
  <c r="Q171" i="332"/>
  <c r="N167" i="332"/>
  <c r="O167" i="332"/>
  <c r="P167" i="332"/>
  <c r="Q167" i="332"/>
  <c r="N163" i="332"/>
  <c r="O163" i="332"/>
  <c r="P163" i="332"/>
  <c r="Q163" i="332"/>
  <c r="N159" i="332"/>
  <c r="O159" i="332"/>
  <c r="P159" i="332"/>
  <c r="Q159" i="332"/>
  <c r="N155" i="332"/>
  <c r="O155" i="332"/>
  <c r="P155" i="332"/>
  <c r="Q155" i="332"/>
  <c r="N147" i="332"/>
  <c r="O147" i="332"/>
  <c r="P147" i="332"/>
  <c r="Q147" i="332"/>
  <c r="N143" i="332"/>
  <c r="O143" i="332"/>
  <c r="P143" i="332"/>
  <c r="Q143" i="332"/>
  <c r="N134" i="332"/>
  <c r="O134" i="332"/>
  <c r="N130" i="332"/>
  <c r="N125" i="332"/>
  <c r="N268" i="332"/>
  <c r="N256" i="332"/>
  <c r="O256" i="332"/>
  <c r="O253" i="332"/>
  <c r="P253" i="332"/>
  <c r="N266" i="332"/>
  <c r="O266" i="332"/>
  <c r="O263" i="332"/>
  <c r="P263" i="332"/>
  <c r="Q263" i="332"/>
  <c r="N249" i="332"/>
  <c r="O249" i="332"/>
  <c r="P249" i="332"/>
  <c r="Q249" i="332"/>
  <c r="R249" i="332"/>
  <c r="S249" i="332"/>
  <c r="N242" i="332"/>
  <c r="O242" i="332"/>
  <c r="P242" i="332"/>
  <c r="Q242" i="332"/>
  <c r="R242" i="332"/>
  <c r="S242" i="332"/>
  <c r="N238" i="332"/>
  <c r="O238" i="332"/>
  <c r="P238" i="332"/>
  <c r="Q238" i="332"/>
  <c r="R238" i="332"/>
  <c r="S238" i="332"/>
  <c r="N229" i="332"/>
  <c r="O229" i="332"/>
  <c r="P229" i="332"/>
  <c r="Q229" i="332"/>
  <c r="R229" i="332"/>
  <c r="S229" i="332"/>
  <c r="N225" i="332"/>
  <c r="O225" i="332"/>
  <c r="P225" i="332"/>
  <c r="Q225" i="332"/>
  <c r="R225" i="332"/>
  <c r="S225" i="332"/>
  <c r="N220" i="332"/>
  <c r="O220" i="332"/>
  <c r="P220" i="332"/>
  <c r="Q220" i="332"/>
  <c r="R220" i="332"/>
  <c r="S220" i="332"/>
  <c r="N215" i="332"/>
  <c r="O215" i="332"/>
  <c r="P215" i="332"/>
  <c r="Q215" i="332"/>
  <c r="R215" i="332"/>
  <c r="S215" i="332"/>
  <c r="N210" i="332"/>
  <c r="O210" i="332"/>
  <c r="P210" i="332"/>
  <c r="Q210" i="332"/>
  <c r="R210" i="332"/>
  <c r="S210" i="332"/>
  <c r="N202" i="332"/>
  <c r="O202" i="332"/>
  <c r="P202" i="332"/>
  <c r="Q202" i="332"/>
  <c r="R202" i="332"/>
  <c r="S202" i="332"/>
  <c r="N196" i="332"/>
  <c r="O196" i="332"/>
  <c r="P196" i="332"/>
  <c r="Q196" i="332"/>
  <c r="R196" i="332"/>
  <c r="S196" i="332"/>
  <c r="N192" i="332"/>
  <c r="O192" i="332"/>
  <c r="P192" i="332"/>
  <c r="Q192" i="332"/>
  <c r="R192" i="332"/>
  <c r="S192" i="332"/>
  <c r="N178" i="332"/>
  <c r="O178" i="332"/>
  <c r="P178" i="332"/>
  <c r="Q178" i="332"/>
  <c r="R178" i="332"/>
  <c r="S178" i="332"/>
  <c r="N174" i="332"/>
  <c r="O174" i="332"/>
  <c r="P174" i="332"/>
  <c r="Q174" i="332"/>
  <c r="R174" i="332"/>
  <c r="S174" i="332"/>
  <c r="N170" i="332"/>
  <c r="O170" i="332"/>
  <c r="P170" i="332"/>
  <c r="Q170" i="332"/>
  <c r="R170" i="332"/>
  <c r="S170" i="332"/>
  <c r="N166" i="332"/>
  <c r="O166" i="332"/>
  <c r="P166" i="332"/>
  <c r="Q166" i="332"/>
  <c r="R166" i="332"/>
  <c r="S166" i="332"/>
  <c r="N162" i="332"/>
  <c r="O162" i="332"/>
  <c r="P162" i="332"/>
  <c r="Q162" i="332"/>
  <c r="R162" i="332"/>
  <c r="S162" i="332"/>
  <c r="N158" i="332"/>
  <c r="O158" i="332"/>
  <c r="P158" i="332"/>
  <c r="Q158" i="332"/>
  <c r="R158" i="332"/>
  <c r="S158" i="332"/>
  <c r="N150" i="332"/>
  <c r="O150" i="332"/>
  <c r="P150" i="332"/>
  <c r="Q150" i="332"/>
  <c r="R150" i="332"/>
  <c r="S150" i="332"/>
  <c r="N146" i="332"/>
  <c r="O146" i="332"/>
  <c r="P146" i="332"/>
  <c r="Q146" i="332"/>
  <c r="R146" i="332"/>
  <c r="S146" i="332"/>
  <c r="N142" i="332"/>
  <c r="O142" i="332"/>
  <c r="P142" i="332"/>
  <c r="Q142" i="332"/>
  <c r="R142" i="332"/>
  <c r="S142" i="332"/>
  <c r="R273" i="332"/>
  <c r="P267" i="332"/>
  <c r="N260" i="332"/>
  <c r="O260" i="332"/>
  <c r="O257" i="332"/>
  <c r="P257" i="332"/>
  <c r="P254" i="332"/>
  <c r="Q254" i="332"/>
  <c r="R254" i="332"/>
  <c r="O245" i="332"/>
  <c r="P245" i="332"/>
  <c r="Q245" i="332"/>
  <c r="R245" i="332"/>
  <c r="S245" i="332"/>
  <c r="T245" i="332"/>
  <c r="U245" i="332"/>
  <c r="O241" i="332"/>
  <c r="P241" i="332"/>
  <c r="Q241" i="332"/>
  <c r="R241" i="332"/>
  <c r="S241" i="332"/>
  <c r="T241" i="332"/>
  <c r="U241" i="332"/>
  <c r="O237" i="332"/>
  <c r="P237" i="332"/>
  <c r="Q237" i="332"/>
  <c r="R237" i="332"/>
  <c r="S237" i="332"/>
  <c r="T237" i="332"/>
  <c r="U237" i="332"/>
  <c r="O228" i="332"/>
  <c r="P228" i="332"/>
  <c r="Q228" i="332"/>
  <c r="R228" i="332"/>
  <c r="S228" i="332"/>
  <c r="T228" i="332"/>
  <c r="U228" i="332"/>
  <c r="O224" i="332"/>
  <c r="P224" i="332"/>
  <c r="Q224" i="332"/>
  <c r="R224" i="332"/>
  <c r="S224" i="332"/>
  <c r="T224" i="332"/>
  <c r="U224" i="332"/>
  <c r="O219" i="332"/>
  <c r="P219" i="332"/>
  <c r="Q219" i="332"/>
  <c r="R219" i="332"/>
  <c r="S219" i="332"/>
  <c r="T219" i="332"/>
  <c r="U219" i="332"/>
  <c r="O214" i="332"/>
  <c r="P214" i="332"/>
  <c r="Q214" i="332"/>
  <c r="R214" i="332"/>
  <c r="S214" i="332"/>
  <c r="T214" i="332"/>
  <c r="U214" i="332"/>
  <c r="O206" i="332"/>
  <c r="P206" i="332"/>
  <c r="Q206" i="332"/>
  <c r="R206" i="332"/>
  <c r="S206" i="332"/>
  <c r="T206" i="332"/>
  <c r="U206" i="332"/>
  <c r="O201" i="332"/>
  <c r="P201" i="332"/>
  <c r="Q201" i="332"/>
  <c r="R201" i="332"/>
  <c r="S201" i="332"/>
  <c r="T201" i="332"/>
  <c r="U201" i="332"/>
  <c r="O195" i="332"/>
  <c r="P195" i="332"/>
  <c r="Q195" i="332"/>
  <c r="R195" i="332"/>
  <c r="S195" i="332"/>
  <c r="T195" i="332"/>
  <c r="U195" i="332"/>
  <c r="O181" i="332"/>
  <c r="P181" i="332"/>
  <c r="Q181" i="332"/>
  <c r="R181" i="332"/>
  <c r="S181" i="332"/>
  <c r="T181" i="332"/>
  <c r="U181" i="332"/>
  <c r="O177" i="332"/>
  <c r="P177" i="332"/>
  <c r="Q177" i="332"/>
  <c r="R177" i="332"/>
  <c r="S177" i="332"/>
  <c r="T177" i="332"/>
  <c r="U177" i="332"/>
  <c r="O173" i="332"/>
  <c r="P173" i="332"/>
  <c r="Q173" i="332"/>
  <c r="R173" i="332"/>
  <c r="S173" i="332"/>
  <c r="T173" i="332"/>
  <c r="U173" i="332"/>
  <c r="O169" i="332"/>
  <c r="P169" i="332"/>
  <c r="Q169" i="332"/>
  <c r="R169" i="332"/>
  <c r="S169" i="332"/>
  <c r="T169" i="332"/>
  <c r="U169" i="332"/>
  <c r="O165" i="332"/>
  <c r="P165" i="332"/>
  <c r="Q165" i="332"/>
  <c r="R165" i="332"/>
  <c r="S165" i="332"/>
  <c r="T165" i="332"/>
  <c r="U165" i="332"/>
  <c r="O161" i="332"/>
  <c r="P161" i="332"/>
  <c r="Q161" i="332"/>
  <c r="R161" i="332"/>
  <c r="S161" i="332"/>
  <c r="T161" i="332"/>
  <c r="U161" i="332"/>
  <c r="O157" i="332"/>
  <c r="P157" i="332"/>
  <c r="Q157" i="332"/>
  <c r="R157" i="332"/>
  <c r="S157" i="332"/>
  <c r="T157" i="332"/>
  <c r="U157" i="332"/>
  <c r="O149" i="332"/>
  <c r="P149" i="332"/>
  <c r="Q149" i="332"/>
  <c r="R149" i="332"/>
  <c r="S149" i="332"/>
  <c r="T149" i="332"/>
  <c r="U149" i="332"/>
  <c r="O145" i="332"/>
  <c r="P145" i="332"/>
  <c r="Q145" i="332"/>
  <c r="R145" i="332"/>
  <c r="S145" i="332"/>
  <c r="T145" i="332"/>
  <c r="U145" i="332"/>
  <c r="O141" i="332"/>
  <c r="P141" i="332"/>
  <c r="Q141" i="332"/>
  <c r="R141" i="332"/>
  <c r="S141" i="332"/>
  <c r="T141" i="332"/>
  <c r="U141" i="332"/>
  <c r="O131" i="332"/>
  <c r="N121" i="332"/>
  <c r="O121" i="332"/>
  <c r="N118" i="332"/>
  <c r="N107" i="332"/>
  <c r="N103" i="332"/>
  <c r="N97" i="332"/>
  <c r="N89" i="332"/>
  <c r="N85" i="332"/>
  <c r="N129" i="332"/>
  <c r="O129" i="332"/>
  <c r="P129" i="332"/>
  <c r="P128" i="332"/>
  <c r="N76" i="332"/>
  <c r="O76" i="332"/>
  <c r="N67" i="332"/>
  <c r="O67" i="332"/>
  <c r="N62" i="332"/>
  <c r="O62" i="332"/>
  <c r="N54" i="332"/>
  <c r="O54" i="332"/>
  <c r="N47" i="332"/>
  <c r="O47" i="332"/>
  <c r="N41" i="332"/>
  <c r="O41" i="332"/>
  <c r="N35" i="332"/>
  <c r="O35" i="332"/>
  <c r="N28" i="332"/>
  <c r="O28" i="332"/>
  <c r="N23" i="332"/>
  <c r="O23" i="332"/>
  <c r="N16" i="332"/>
  <c r="O16" i="332"/>
  <c r="N12" i="332"/>
  <c r="O12" i="332"/>
  <c r="N106" i="332"/>
  <c r="O106" i="332"/>
  <c r="P106" i="332"/>
  <c r="N96" i="332"/>
  <c r="O96" i="332"/>
  <c r="P96" i="332"/>
  <c r="N88" i="332"/>
  <c r="O88" i="332"/>
  <c r="P88" i="332"/>
  <c r="N84" i="332"/>
  <c r="O84" i="332"/>
  <c r="P84" i="332"/>
  <c r="N126" i="332"/>
  <c r="O126" i="332"/>
  <c r="N119" i="332"/>
  <c r="O119" i="332"/>
  <c r="P119" i="332"/>
  <c r="N116" i="332"/>
  <c r="N114" i="332"/>
  <c r="O114" i="332"/>
  <c r="P114" i="332"/>
  <c r="Q114" i="332"/>
  <c r="N74" i="332"/>
  <c r="O74" i="332"/>
  <c r="P74" i="332"/>
  <c r="Q74" i="332"/>
  <c r="N66" i="332"/>
  <c r="O66" i="332"/>
  <c r="P66" i="332"/>
  <c r="Q66" i="332"/>
  <c r="N61" i="332"/>
  <c r="O61" i="332"/>
  <c r="P61" i="332"/>
  <c r="Q61" i="332"/>
  <c r="N51" i="332"/>
  <c r="O51" i="332"/>
  <c r="P51" i="332"/>
  <c r="Q51" i="332"/>
  <c r="N45" i="332"/>
  <c r="O45" i="332"/>
  <c r="P45" i="332"/>
  <c r="Q45" i="332"/>
  <c r="N39" i="332"/>
  <c r="O39" i="332"/>
  <c r="P39" i="332"/>
  <c r="Q39" i="332"/>
  <c r="N31" i="332"/>
  <c r="O31" i="332"/>
  <c r="P31" i="332"/>
  <c r="Q31" i="332"/>
  <c r="N27" i="332"/>
  <c r="O27" i="332"/>
  <c r="P27" i="332"/>
  <c r="Q27" i="332"/>
  <c r="N22" i="332"/>
  <c r="O22" i="332"/>
  <c r="P22" i="332"/>
  <c r="Q22" i="332"/>
  <c r="N15" i="332"/>
  <c r="O15" i="332"/>
  <c r="P15" i="332"/>
  <c r="Q15" i="332"/>
  <c r="N11" i="332"/>
  <c r="O11" i="332"/>
  <c r="P11" i="332"/>
  <c r="Q11" i="332"/>
  <c r="N110" i="332"/>
  <c r="O110" i="332"/>
  <c r="P110" i="332"/>
  <c r="Q110" i="332"/>
  <c r="R110" i="332"/>
  <c r="N105" i="332"/>
  <c r="O105" i="332"/>
  <c r="P105" i="332"/>
  <c r="Q105" i="332"/>
  <c r="R105" i="332"/>
  <c r="N99" i="332"/>
  <c r="O99" i="332"/>
  <c r="M100" i="332"/>
  <c r="P99" i="332"/>
  <c r="Q99" i="332"/>
  <c r="R99" i="332"/>
  <c r="N95" i="332"/>
  <c r="O95" i="332"/>
  <c r="P95" i="332"/>
  <c r="Q95" i="332"/>
  <c r="R95" i="332"/>
  <c r="N87" i="332"/>
  <c r="O87" i="332"/>
  <c r="P87" i="332"/>
  <c r="Q87" i="332"/>
  <c r="R87" i="332"/>
  <c r="N82" i="332"/>
  <c r="O82" i="332"/>
  <c r="P82" i="332"/>
  <c r="Q82" i="332"/>
  <c r="R82" i="332"/>
  <c r="P132" i="332"/>
  <c r="N124" i="332"/>
  <c r="O124" i="332"/>
  <c r="P124" i="332"/>
  <c r="P123" i="332"/>
  <c r="N120" i="332"/>
  <c r="N71" i="332"/>
  <c r="O71" i="332"/>
  <c r="P71" i="332"/>
  <c r="Q71" i="332"/>
  <c r="R71" i="332"/>
  <c r="S71" i="332"/>
  <c r="N65" i="332"/>
  <c r="O65" i="332"/>
  <c r="P65" i="332"/>
  <c r="Q65" i="332"/>
  <c r="R65" i="332"/>
  <c r="S65" i="332"/>
  <c r="N60" i="332"/>
  <c r="O60" i="332"/>
  <c r="P60" i="332"/>
  <c r="Q60" i="332"/>
  <c r="R60" i="332"/>
  <c r="S60" i="332"/>
  <c r="N49" i="332"/>
  <c r="O49" i="332"/>
  <c r="P49" i="332"/>
  <c r="Q49" i="332"/>
  <c r="R49" i="332"/>
  <c r="S49" i="332"/>
  <c r="N44" i="332"/>
  <c r="O44" i="332"/>
  <c r="P44" i="332"/>
  <c r="Q44" i="332"/>
  <c r="R44" i="332"/>
  <c r="S44" i="332"/>
  <c r="N38" i="332"/>
  <c r="O38" i="332"/>
  <c r="P38" i="332"/>
  <c r="Q38" i="332"/>
  <c r="R38" i="332"/>
  <c r="S38" i="332"/>
  <c r="N30" i="332"/>
  <c r="O30" i="332"/>
  <c r="P30" i="332"/>
  <c r="Q30" i="332"/>
  <c r="R30" i="332"/>
  <c r="S30" i="332"/>
  <c r="N26" i="332"/>
  <c r="O26" i="332"/>
  <c r="P26" i="332"/>
  <c r="Q26" i="332"/>
  <c r="R26" i="332"/>
  <c r="S26" i="332"/>
  <c r="N20" i="332"/>
  <c r="O20" i="332"/>
  <c r="P20" i="332"/>
  <c r="Q20" i="332"/>
  <c r="R20" i="332"/>
  <c r="S20" i="332"/>
  <c r="N14" i="332"/>
  <c r="O14" i="332"/>
  <c r="P14" i="332"/>
  <c r="Q14" i="332"/>
  <c r="R14" i="332"/>
  <c r="S14" i="332"/>
  <c r="N133" i="332"/>
  <c r="O133" i="332"/>
  <c r="P133" i="332"/>
  <c r="Q133" i="332"/>
  <c r="N117" i="332"/>
  <c r="O117" i="332"/>
  <c r="P117" i="332"/>
  <c r="N108" i="332"/>
  <c r="O108" i="332"/>
  <c r="P108" i="332"/>
  <c r="Q108" i="332"/>
  <c r="R108" i="332"/>
  <c r="S108" i="332"/>
  <c r="T108" i="332"/>
  <c r="N104" i="332"/>
  <c r="O104" i="332"/>
  <c r="P104" i="332"/>
  <c r="Q104" i="332"/>
  <c r="R104" i="332"/>
  <c r="S104" i="332"/>
  <c r="T104" i="332"/>
  <c r="N98" i="332"/>
  <c r="O98" i="332"/>
  <c r="P98" i="332"/>
  <c r="Q98" i="332"/>
  <c r="R98" i="332"/>
  <c r="S98" i="332"/>
  <c r="T98" i="332"/>
  <c r="N92" i="332"/>
  <c r="O92" i="332"/>
  <c r="P92" i="332"/>
  <c r="Q92" i="332"/>
  <c r="R92" i="332"/>
  <c r="S92" i="332"/>
  <c r="T92" i="332"/>
  <c r="N86" i="332"/>
  <c r="O86" i="332"/>
  <c r="P86" i="332"/>
  <c r="Q86" i="332"/>
  <c r="R86" i="332"/>
  <c r="S86" i="332"/>
  <c r="T86" i="332"/>
  <c r="O80" i="332"/>
  <c r="P80" i="332"/>
  <c r="Q80" i="332"/>
  <c r="R80" i="332"/>
  <c r="S80" i="332"/>
  <c r="T80" i="332"/>
  <c r="U80" i="332"/>
  <c r="O77" i="332"/>
  <c r="P77" i="332"/>
  <c r="Q77" i="332"/>
  <c r="R77" i="332"/>
  <c r="S77" i="332"/>
  <c r="T77" i="332"/>
  <c r="U77" i="332"/>
  <c r="O70" i="332"/>
  <c r="P70" i="332"/>
  <c r="Q70" i="332"/>
  <c r="R70" i="332"/>
  <c r="S70" i="332"/>
  <c r="T70" i="332"/>
  <c r="U70" i="332"/>
  <c r="O64" i="332"/>
  <c r="P64" i="332"/>
  <c r="Q64" i="332"/>
  <c r="R64" i="332"/>
  <c r="S64" i="332"/>
  <c r="T64" i="332"/>
  <c r="U64" i="332"/>
  <c r="O56" i="332"/>
  <c r="P56" i="332"/>
  <c r="Q56" i="332"/>
  <c r="R56" i="332"/>
  <c r="S56" i="332"/>
  <c r="T56" i="332"/>
  <c r="U56" i="332"/>
  <c r="O48" i="332"/>
  <c r="P48" i="332"/>
  <c r="Q48" i="332"/>
  <c r="R48" i="332"/>
  <c r="S48" i="332"/>
  <c r="T48" i="332"/>
  <c r="U48" i="332"/>
  <c r="O42" i="332"/>
  <c r="P42" i="332"/>
  <c r="Q42" i="332"/>
  <c r="R42" i="332"/>
  <c r="S42" i="332"/>
  <c r="T42" i="332"/>
  <c r="U42" i="332"/>
  <c r="O36" i="332"/>
  <c r="P36" i="332"/>
  <c r="Q36" i="332"/>
  <c r="R36" i="332"/>
  <c r="S36" i="332"/>
  <c r="T36" i="332"/>
  <c r="U36" i="332"/>
  <c r="O29" i="332"/>
  <c r="P29" i="332"/>
  <c r="Q29" i="332"/>
  <c r="R29" i="332"/>
  <c r="S29" i="332"/>
  <c r="T29" i="332"/>
  <c r="U29" i="332"/>
  <c r="O24" i="332"/>
  <c r="P24" i="332"/>
  <c r="Q24" i="332"/>
  <c r="R24" i="332"/>
  <c r="S24" i="332"/>
  <c r="T24" i="332"/>
  <c r="U24" i="332"/>
  <c r="O17" i="332"/>
  <c r="P17" i="332"/>
  <c r="Q17" i="332"/>
  <c r="R17" i="332"/>
  <c r="S17" i="332"/>
  <c r="T17" i="332"/>
  <c r="U17" i="332"/>
  <c r="O13" i="332"/>
  <c r="P13" i="332"/>
  <c r="Q13" i="332"/>
  <c r="R13" i="332"/>
  <c r="S13" i="332"/>
  <c r="T13" i="332"/>
  <c r="U13" i="332"/>
  <c r="O358" i="332"/>
  <c r="P358" i="332"/>
  <c r="Q358" i="332"/>
  <c r="R358" i="332"/>
  <c r="S358" i="332"/>
  <c r="T358" i="332"/>
  <c r="O357" i="332"/>
  <c r="P357" i="332"/>
  <c r="Q357" i="332"/>
  <c r="R357" i="332"/>
  <c r="S357" i="332"/>
  <c r="T357" i="332"/>
  <c r="O348" i="332"/>
  <c r="P348" i="332"/>
  <c r="Q348" i="332"/>
  <c r="R348" i="332"/>
  <c r="S348" i="332"/>
  <c r="T348" i="332"/>
  <c r="O346" i="332"/>
  <c r="P346" i="332"/>
  <c r="Q346" i="332"/>
  <c r="R346" i="332"/>
  <c r="S346" i="332"/>
  <c r="T346" i="332"/>
  <c r="O345" i="332"/>
  <c r="P345" i="332"/>
  <c r="Q345" i="332"/>
  <c r="R345" i="332"/>
  <c r="S345" i="332"/>
  <c r="T345" i="332"/>
  <c r="O344" i="332"/>
  <c r="P344" i="332"/>
  <c r="Q344" i="332"/>
  <c r="R344" i="332"/>
  <c r="S344" i="332"/>
  <c r="T344" i="332"/>
  <c r="O343" i="332"/>
  <c r="P343" i="332"/>
  <c r="Q343" i="332"/>
  <c r="R343" i="332"/>
  <c r="S343" i="332"/>
  <c r="T343" i="332"/>
  <c r="O342" i="332"/>
  <c r="P342" i="332"/>
  <c r="Q342" i="332"/>
  <c r="R342" i="332"/>
  <c r="S342" i="332"/>
  <c r="T342" i="332"/>
  <c r="O341" i="332"/>
  <c r="P341" i="332"/>
  <c r="Q341" i="332"/>
  <c r="R341" i="332"/>
  <c r="S341" i="332"/>
  <c r="T341" i="332"/>
  <c r="O277" i="332"/>
  <c r="P277" i="332"/>
  <c r="Q277" i="332"/>
  <c r="R277" i="332"/>
  <c r="S277" i="332"/>
  <c r="T277" i="332"/>
  <c r="O272" i="332"/>
  <c r="Q275" i="332"/>
  <c r="S282" i="332"/>
  <c r="T282" i="332"/>
  <c r="S274" i="332"/>
  <c r="U278" i="332"/>
  <c r="V278" i="332" s="1"/>
  <c r="W278" i="332"/>
  <c r="X278" i="332" s="1"/>
  <c r="S254" i="332"/>
  <c r="P264" i="332"/>
  <c r="Q264" i="332"/>
  <c r="R264" i="332"/>
  <c r="P261" i="332"/>
  <c r="P271" i="332"/>
  <c r="P258" i="332"/>
  <c r="R255" i="332"/>
  <c r="S255" i="332"/>
  <c r="T255" i="332"/>
  <c r="P251" i="332"/>
  <c r="Q251" i="332"/>
  <c r="R251" i="332"/>
  <c r="S251" i="332"/>
  <c r="T251" i="332"/>
  <c r="P244" i="332"/>
  <c r="Q244" i="332"/>
  <c r="R244" i="332"/>
  <c r="S244" i="332"/>
  <c r="T244" i="332"/>
  <c r="P240" i="332"/>
  <c r="Q240" i="332"/>
  <c r="R240" i="332"/>
  <c r="S240" i="332"/>
  <c r="T240" i="332"/>
  <c r="P231" i="332"/>
  <c r="Q231" i="332"/>
  <c r="R231" i="332"/>
  <c r="S231" i="332"/>
  <c r="T231" i="332"/>
  <c r="P227" i="332"/>
  <c r="Q227" i="332"/>
  <c r="R227" i="332"/>
  <c r="S227" i="332"/>
  <c r="T227" i="332"/>
  <c r="P223" i="332"/>
  <c r="Q223" i="332"/>
  <c r="R223" i="332"/>
  <c r="S223" i="332"/>
  <c r="T223" i="332"/>
  <c r="P218" i="332"/>
  <c r="Q218" i="332"/>
  <c r="R218" i="332"/>
  <c r="S218" i="332"/>
  <c r="T218" i="332"/>
  <c r="P213" i="332"/>
  <c r="Q213" i="332"/>
  <c r="R213" i="332"/>
  <c r="S213" i="332"/>
  <c r="T213" i="332"/>
  <c r="P204" i="332"/>
  <c r="Q204" i="332"/>
  <c r="R204" i="332"/>
  <c r="S204" i="332"/>
  <c r="T204" i="332"/>
  <c r="P200" i="332"/>
  <c r="Q200" i="332"/>
  <c r="R200" i="332"/>
  <c r="S200" i="332"/>
  <c r="T200" i="332"/>
  <c r="P194" i="332"/>
  <c r="Q194" i="332"/>
  <c r="R194" i="332"/>
  <c r="S194" i="332"/>
  <c r="T194" i="332"/>
  <c r="P180" i="332"/>
  <c r="Q180" i="332"/>
  <c r="R180" i="332"/>
  <c r="S180" i="332"/>
  <c r="T180" i="332"/>
  <c r="P176" i="332"/>
  <c r="Q176" i="332"/>
  <c r="R176" i="332"/>
  <c r="S176" i="332"/>
  <c r="T176" i="332"/>
  <c r="P172" i="332"/>
  <c r="Q172" i="332"/>
  <c r="R172" i="332"/>
  <c r="S172" i="332"/>
  <c r="T172" i="332"/>
  <c r="P168" i="332"/>
  <c r="Q168" i="332"/>
  <c r="R168" i="332"/>
  <c r="S168" i="332"/>
  <c r="T168" i="332"/>
  <c r="P164" i="332"/>
  <c r="Q164" i="332"/>
  <c r="R164" i="332"/>
  <c r="S164" i="332"/>
  <c r="T164" i="332"/>
  <c r="P160" i="332"/>
  <c r="Q160" i="332"/>
  <c r="R160" i="332"/>
  <c r="S160" i="332"/>
  <c r="T160" i="332"/>
  <c r="P156" i="332"/>
  <c r="Q156" i="332"/>
  <c r="R156" i="332"/>
  <c r="S156" i="332"/>
  <c r="T156" i="332"/>
  <c r="P148" i="332"/>
  <c r="Q148" i="332"/>
  <c r="R148" i="332"/>
  <c r="S148" i="332"/>
  <c r="T148" i="332"/>
  <c r="P144" i="332"/>
  <c r="Q144" i="332"/>
  <c r="R144" i="332"/>
  <c r="S144" i="332"/>
  <c r="T144" i="332"/>
  <c r="P135" i="332"/>
  <c r="Q135" i="332"/>
  <c r="P270" i="332"/>
  <c r="Q265" i="332"/>
  <c r="P252" i="332"/>
  <c r="P269" i="332"/>
  <c r="P262" i="332"/>
  <c r="R259" i="332"/>
  <c r="R250" i="332"/>
  <c r="S250" i="332"/>
  <c r="T250" i="332"/>
  <c r="R243" i="332"/>
  <c r="S243" i="332"/>
  <c r="T243" i="332"/>
  <c r="R239" i="332"/>
  <c r="S239" i="332"/>
  <c r="T239" i="332"/>
  <c r="R230" i="332"/>
  <c r="S230" i="332"/>
  <c r="T230" i="332"/>
  <c r="R226" i="332"/>
  <c r="S226" i="332"/>
  <c r="T226" i="332"/>
  <c r="R221" i="332"/>
  <c r="S221" i="332"/>
  <c r="T221" i="332"/>
  <c r="R216" i="332"/>
  <c r="S216" i="332"/>
  <c r="T216" i="332"/>
  <c r="R212" i="332"/>
  <c r="S212" i="332"/>
  <c r="T212" i="332"/>
  <c r="R203" i="332"/>
  <c r="S203" i="332"/>
  <c r="T203" i="332"/>
  <c r="R199" i="332"/>
  <c r="S199" i="332"/>
  <c r="T199" i="332"/>
  <c r="R193" i="332"/>
  <c r="S193" i="332"/>
  <c r="T193" i="332"/>
  <c r="R179" i="332"/>
  <c r="S179" i="332"/>
  <c r="T179" i="332"/>
  <c r="R175" i="332"/>
  <c r="S175" i="332"/>
  <c r="T175" i="332"/>
  <c r="R171" i="332"/>
  <c r="S171" i="332"/>
  <c r="T171" i="332"/>
  <c r="R167" i="332"/>
  <c r="S167" i="332"/>
  <c r="T167" i="332"/>
  <c r="R163" i="332"/>
  <c r="S163" i="332"/>
  <c r="T163" i="332"/>
  <c r="R159" i="332"/>
  <c r="S159" i="332"/>
  <c r="T159" i="332"/>
  <c r="R155" i="332"/>
  <c r="S155" i="332"/>
  <c r="T155" i="332"/>
  <c r="R147" i="332"/>
  <c r="S147" i="332"/>
  <c r="T147" i="332"/>
  <c r="R143" i="332"/>
  <c r="S143" i="332"/>
  <c r="T143" i="332"/>
  <c r="P134" i="332"/>
  <c r="O130" i="332"/>
  <c r="O125" i="332"/>
  <c r="P125" i="332"/>
  <c r="O268" i="332"/>
  <c r="P268" i="332"/>
  <c r="P256" i="332"/>
  <c r="Q253" i="332"/>
  <c r="P266" i="332"/>
  <c r="R263" i="332"/>
  <c r="T249" i="332"/>
  <c r="T242" i="332"/>
  <c r="T238" i="332"/>
  <c r="T229" i="332"/>
  <c r="T225" i="332"/>
  <c r="T220" i="332"/>
  <c r="T215" i="332"/>
  <c r="T210" i="332"/>
  <c r="T202" i="332"/>
  <c r="T196" i="332"/>
  <c r="T192" i="332"/>
  <c r="T178" i="332"/>
  <c r="T174" i="332"/>
  <c r="T170" i="332"/>
  <c r="T166" i="332"/>
  <c r="T162" i="332"/>
  <c r="T158" i="332"/>
  <c r="T150" i="332"/>
  <c r="T146" i="332"/>
  <c r="T142" i="332"/>
  <c r="S273" i="332"/>
  <c r="Q267" i="332"/>
  <c r="P260" i="332"/>
  <c r="Q257" i="332"/>
  <c r="V245" i="332"/>
  <c r="V241" i="332"/>
  <c r="V237" i="332"/>
  <c r="V228" i="332"/>
  <c r="V224" i="332"/>
  <c r="V219" i="332"/>
  <c r="V214" i="332"/>
  <c r="V206" i="332"/>
  <c r="V201" i="332"/>
  <c r="V195" i="332"/>
  <c r="V181" i="332"/>
  <c r="V177" i="332"/>
  <c r="V173" i="332"/>
  <c r="V169" i="332"/>
  <c r="V165" i="332"/>
  <c r="V161" i="332"/>
  <c r="V157" i="332"/>
  <c r="V149" i="332"/>
  <c r="V145" i="332"/>
  <c r="V141" i="332"/>
  <c r="P131" i="332"/>
  <c r="P121" i="332"/>
  <c r="O118" i="332"/>
  <c r="P118" i="332"/>
  <c r="Q118" i="332"/>
  <c r="O107" i="332"/>
  <c r="P107" i="332"/>
  <c r="Q107" i="332"/>
  <c r="R107" i="332"/>
  <c r="S107" i="332"/>
  <c r="T107" i="332"/>
  <c r="O103" i="332"/>
  <c r="P103" i="332"/>
  <c r="Q103" i="332"/>
  <c r="R103" i="332"/>
  <c r="S103" i="332"/>
  <c r="T103" i="332"/>
  <c r="O97" i="332"/>
  <c r="P97" i="332"/>
  <c r="Q97" i="332"/>
  <c r="R97" i="332"/>
  <c r="S97" i="332"/>
  <c r="T97" i="332"/>
  <c r="O89" i="332"/>
  <c r="P89" i="332"/>
  <c r="Q89" i="332"/>
  <c r="R89" i="332"/>
  <c r="S89" i="332"/>
  <c r="T89" i="332"/>
  <c r="O85" i="332"/>
  <c r="P85" i="332"/>
  <c r="Q85" i="332"/>
  <c r="R85" i="332"/>
  <c r="S85" i="332"/>
  <c r="T85" i="332"/>
  <c r="Q129" i="332"/>
  <c r="Q128" i="332"/>
  <c r="P76" i="332"/>
  <c r="Q76" i="332"/>
  <c r="R76" i="332"/>
  <c r="S76" i="332"/>
  <c r="T76" i="332"/>
  <c r="P67" i="332"/>
  <c r="Q67" i="332"/>
  <c r="R67" i="332"/>
  <c r="S67" i="332"/>
  <c r="T67" i="332"/>
  <c r="P62" i="332"/>
  <c r="Q62" i="332"/>
  <c r="R62" i="332"/>
  <c r="S62" i="332"/>
  <c r="T62" i="332"/>
  <c r="P54" i="332"/>
  <c r="Q54" i="332"/>
  <c r="R54" i="332"/>
  <c r="S54" i="332"/>
  <c r="T54" i="332"/>
  <c r="P47" i="332"/>
  <c r="Q47" i="332"/>
  <c r="R47" i="332"/>
  <c r="S47" i="332"/>
  <c r="T47" i="332"/>
  <c r="P41" i="332"/>
  <c r="Q41" i="332"/>
  <c r="R41" i="332"/>
  <c r="S41" i="332"/>
  <c r="T41" i="332"/>
  <c r="P35" i="332"/>
  <c r="Q35" i="332"/>
  <c r="R35" i="332"/>
  <c r="S35" i="332"/>
  <c r="T35" i="332"/>
  <c r="P28" i="332"/>
  <c r="Q28" i="332"/>
  <c r="R28" i="332"/>
  <c r="S28" i="332"/>
  <c r="T28" i="332"/>
  <c r="P23" i="332"/>
  <c r="Q23" i="332"/>
  <c r="R23" i="332"/>
  <c r="S23" i="332"/>
  <c r="T23" i="332"/>
  <c r="P16" i="332"/>
  <c r="Q16" i="332"/>
  <c r="R16" i="332"/>
  <c r="S16" i="332"/>
  <c r="T16" i="332"/>
  <c r="P12" i="332"/>
  <c r="Q12" i="332"/>
  <c r="R12" i="332"/>
  <c r="S12" i="332"/>
  <c r="T12" i="332"/>
  <c r="Q106" i="332"/>
  <c r="R106" i="332"/>
  <c r="S106" i="332"/>
  <c r="T106" i="332"/>
  <c r="Q96" i="332"/>
  <c r="R96" i="332"/>
  <c r="S96" i="332"/>
  <c r="T96" i="332"/>
  <c r="Q88" i="332"/>
  <c r="R88" i="332"/>
  <c r="S88" i="332"/>
  <c r="T88" i="332"/>
  <c r="Q84" i="332"/>
  <c r="R84" i="332"/>
  <c r="S84" i="332"/>
  <c r="T84" i="332"/>
  <c r="P126" i="332"/>
  <c r="Q126" i="332"/>
  <c r="Q119" i="332"/>
  <c r="O116" i="332"/>
  <c r="R114" i="332"/>
  <c r="S114" i="332"/>
  <c r="R74" i="332"/>
  <c r="S74" i="332"/>
  <c r="T74" i="332"/>
  <c r="R66" i="332"/>
  <c r="S66" i="332"/>
  <c r="T66" i="332"/>
  <c r="R61" i="332"/>
  <c r="S61" i="332"/>
  <c r="T61" i="332"/>
  <c r="R51" i="332"/>
  <c r="S51" i="332"/>
  <c r="T51" i="332"/>
  <c r="R45" i="332"/>
  <c r="S45" i="332"/>
  <c r="T45" i="332"/>
  <c r="R39" i="332"/>
  <c r="S39" i="332"/>
  <c r="T39" i="332"/>
  <c r="R31" i="332"/>
  <c r="S31" i="332"/>
  <c r="T31" i="332"/>
  <c r="R27" i="332"/>
  <c r="S27" i="332"/>
  <c r="T27" i="332"/>
  <c r="R22" i="332"/>
  <c r="S22" i="332"/>
  <c r="T22" i="332"/>
  <c r="R15" i="332"/>
  <c r="S15" i="332"/>
  <c r="T15" i="332"/>
  <c r="R11" i="332"/>
  <c r="S11" i="332"/>
  <c r="T11" i="332"/>
  <c r="S110" i="332"/>
  <c r="T110" i="332"/>
  <c r="S105" i="332"/>
  <c r="T105" i="332"/>
  <c r="S99" i="332"/>
  <c r="T99" i="332"/>
  <c r="N100" i="332"/>
  <c r="O100" i="332"/>
  <c r="P100" i="332"/>
  <c r="S95" i="332"/>
  <c r="T95" i="332"/>
  <c r="S87" i="332"/>
  <c r="T87" i="332"/>
  <c r="S82" i="332"/>
  <c r="T82" i="332"/>
  <c r="Q132" i="332"/>
  <c r="Q124" i="332"/>
  <c r="Q123" i="332"/>
  <c r="O120" i="332"/>
  <c r="T71" i="332"/>
  <c r="T65" i="332"/>
  <c r="T60" i="332"/>
  <c r="T49" i="332"/>
  <c r="T44" i="332"/>
  <c r="T38" i="332"/>
  <c r="T30" i="332"/>
  <c r="T26" i="332"/>
  <c r="T20" i="332"/>
  <c r="T14" i="332"/>
  <c r="R133" i="332"/>
  <c r="Q117" i="332"/>
  <c r="U108" i="332"/>
  <c r="V108" i="332" s="1"/>
  <c r="W108" i="332"/>
  <c r="X108" i="332" s="1"/>
  <c r="U104" i="332"/>
  <c r="V104" i="332" s="1"/>
  <c r="W104" i="332"/>
  <c r="X104" i="332" s="1"/>
  <c r="U98" i="332"/>
  <c r="V98" i="332" s="1"/>
  <c r="W98" i="332"/>
  <c r="X98" i="332" s="1"/>
  <c r="U92" i="332"/>
  <c r="V92" i="332" s="1"/>
  <c r="W92" i="332"/>
  <c r="X92" i="332" s="1"/>
  <c r="U86" i="332"/>
  <c r="V86" i="332" s="1"/>
  <c r="W86" i="332"/>
  <c r="X86" i="332" s="1"/>
  <c r="V80" i="332"/>
  <c r="V77" i="332"/>
  <c r="V70" i="332"/>
  <c r="V64" i="332"/>
  <c r="V56" i="332"/>
  <c r="V48" i="332"/>
  <c r="V42" i="332"/>
  <c r="V36" i="332"/>
  <c r="V29" i="332"/>
  <c r="V24" i="332"/>
  <c r="V17" i="332"/>
  <c r="V13" i="332"/>
  <c r="U358" i="332"/>
  <c r="V358" i="332"/>
  <c r="W358" i="332"/>
  <c r="X358" i="332" s="1"/>
  <c r="U357" i="332"/>
  <c r="V357" i="332"/>
  <c r="W357" i="332"/>
  <c r="X357" i="332" s="1"/>
  <c r="U348" i="332"/>
  <c r="V348" i="332"/>
  <c r="W348" i="332"/>
  <c r="X348" i="332" s="1"/>
  <c r="U346" i="332"/>
  <c r="V346" i="332"/>
  <c r="W346" i="332"/>
  <c r="X346" i="332" s="1"/>
  <c r="U345" i="332"/>
  <c r="V345" i="332"/>
  <c r="W345" i="332"/>
  <c r="X345" i="332" s="1"/>
  <c r="U344" i="332"/>
  <c r="V344" i="332"/>
  <c r="W344" i="332"/>
  <c r="X344" i="332" s="1"/>
  <c r="U343" i="332"/>
  <c r="V343" i="332"/>
  <c r="W343" i="332"/>
  <c r="X343" i="332" s="1"/>
  <c r="U342" i="332"/>
  <c r="V342" i="332"/>
  <c r="W342" i="332"/>
  <c r="X342" i="332" s="1"/>
  <c r="U341" i="332"/>
  <c r="V341" i="332"/>
  <c r="W341" i="332"/>
  <c r="X341" i="332" s="1"/>
  <c r="U277" i="332"/>
  <c r="V277" i="332"/>
  <c r="W277" i="332"/>
  <c r="X277" i="332" s="1"/>
  <c r="P272" i="332"/>
  <c r="R275" i="332"/>
  <c r="U282" i="332"/>
  <c r="T274" i="332"/>
  <c r="U274" i="332"/>
  <c r="T254" i="332"/>
  <c r="S264" i="332"/>
  <c r="Q261" i="332"/>
  <c r="Q271" i="332"/>
  <c r="R271" i="332"/>
  <c r="Q258" i="332"/>
  <c r="U255" i="332"/>
  <c r="U251" i="332"/>
  <c r="V251" i="332" s="1"/>
  <c r="W251" i="332"/>
  <c r="X251" i="332" s="1"/>
  <c r="U244" i="332"/>
  <c r="V244" i="332"/>
  <c r="U240" i="332"/>
  <c r="V240" i="332"/>
  <c r="U231" i="332"/>
  <c r="V231" i="332"/>
  <c r="U227" i="332"/>
  <c r="V227" i="332"/>
  <c r="U223" i="332"/>
  <c r="V223" i="332"/>
  <c r="U218" i="332"/>
  <c r="V218" i="332"/>
  <c r="U213" i="332"/>
  <c r="V213" i="332"/>
  <c r="U204" i="332"/>
  <c r="V204" i="332"/>
  <c r="U200" i="332"/>
  <c r="V200" i="332"/>
  <c r="U194" i="332"/>
  <c r="V194" i="332"/>
  <c r="U180" i="332"/>
  <c r="V180" i="332"/>
  <c r="U176" i="332"/>
  <c r="V176" i="332"/>
  <c r="U172" i="332"/>
  <c r="V172" i="332"/>
  <c r="U168" i="332"/>
  <c r="V168" i="332"/>
  <c r="U164" i="332"/>
  <c r="V164" i="332"/>
  <c r="U160" i="332"/>
  <c r="V160" i="332"/>
  <c r="U156" i="332"/>
  <c r="V156" i="332"/>
  <c r="U148" i="332"/>
  <c r="V148" i="332"/>
  <c r="U144" i="332"/>
  <c r="V144" i="332"/>
  <c r="R135" i="332"/>
  <c r="Q270" i="332"/>
  <c r="R270" i="332"/>
  <c r="R265" i="332"/>
  <c r="Q252" i="332"/>
  <c r="R252" i="332"/>
  <c r="S252" i="332"/>
  <c r="Q269" i="332"/>
  <c r="R269" i="332"/>
  <c r="Q262" i="332"/>
  <c r="R262" i="332"/>
  <c r="S262" i="332"/>
  <c r="T262" i="332"/>
  <c r="S259" i="332"/>
  <c r="T259" i="332"/>
  <c r="U259" i="332"/>
  <c r="U250" i="332"/>
  <c r="U243" i="332"/>
  <c r="U239" i="332"/>
  <c r="U230" i="332"/>
  <c r="U226" i="332"/>
  <c r="U221" i="332"/>
  <c r="U216" i="332"/>
  <c r="U212" i="332"/>
  <c r="U203" i="332"/>
  <c r="U199" i="332"/>
  <c r="U193" i="332"/>
  <c r="U179" i="332"/>
  <c r="U175" i="332"/>
  <c r="U171" i="332"/>
  <c r="U167" i="332"/>
  <c r="U163" i="332"/>
  <c r="U159" i="332"/>
  <c r="U155" i="332"/>
  <c r="U147" i="332"/>
  <c r="U143" i="332"/>
  <c r="Q134" i="332"/>
  <c r="P130" i="332"/>
  <c r="Q130" i="332"/>
  <c r="Q125" i="332"/>
  <c r="Q268" i="332"/>
  <c r="Q256" i="332"/>
  <c r="R256" i="332"/>
  <c r="S256" i="332"/>
  <c r="R253" i="332"/>
  <c r="Q266" i="332"/>
  <c r="R266" i="332"/>
  <c r="S266" i="332"/>
  <c r="S263" i="332"/>
  <c r="T263" i="332"/>
  <c r="U263" i="332"/>
  <c r="U249" i="332"/>
  <c r="U242" i="332"/>
  <c r="U238" i="332"/>
  <c r="U229" i="332"/>
  <c r="U225" i="332"/>
  <c r="U220" i="332"/>
  <c r="U215" i="332"/>
  <c r="U210" i="332"/>
  <c r="U202" i="332"/>
  <c r="U196" i="332"/>
  <c r="U192" i="332"/>
  <c r="U178" i="332"/>
  <c r="U174" i="332"/>
  <c r="U170" i="332"/>
  <c r="U166" i="332"/>
  <c r="U162" i="332"/>
  <c r="U158" i="332"/>
  <c r="U150" i="332"/>
  <c r="U146" i="332"/>
  <c r="U142" i="332"/>
  <c r="T273" i="332"/>
  <c r="U273" i="332"/>
  <c r="V273" i="332"/>
  <c r="R267" i="332"/>
  <c r="Q260" i="332"/>
  <c r="R260" i="332"/>
  <c r="S260" i="332"/>
  <c r="R257" i="332"/>
  <c r="W245" i="332"/>
  <c r="X245" i="332"/>
  <c r="W241" i="332"/>
  <c r="X241" i="332"/>
  <c r="W237" i="332"/>
  <c r="X237" i="332"/>
  <c r="W228" i="332"/>
  <c r="X228" i="332"/>
  <c r="W224" i="332"/>
  <c r="X224" i="332"/>
  <c r="W219" i="332"/>
  <c r="X219" i="332"/>
  <c r="W214" i="332"/>
  <c r="X214" i="332"/>
  <c r="W206" i="332"/>
  <c r="X206" i="332"/>
  <c r="W201" i="332"/>
  <c r="X201" i="332"/>
  <c r="W195" i="332"/>
  <c r="X195" i="332"/>
  <c r="W181" i="332"/>
  <c r="X181" i="332"/>
  <c r="W177" i="332"/>
  <c r="X177" i="332"/>
  <c r="W173" i="332"/>
  <c r="X173" i="332"/>
  <c r="W169" i="332"/>
  <c r="X169" i="332"/>
  <c r="W165" i="332"/>
  <c r="X165" i="332"/>
  <c r="W161" i="332"/>
  <c r="X161" i="332"/>
  <c r="W157" i="332"/>
  <c r="X157" i="332"/>
  <c r="W149" i="332"/>
  <c r="X149" i="332"/>
  <c r="W145" i="332"/>
  <c r="X145" i="332"/>
  <c r="W141" i="332"/>
  <c r="X141" i="332"/>
  <c r="Q131" i="332"/>
  <c r="Q121" i="332"/>
  <c r="R118" i="332"/>
  <c r="U107" i="332"/>
  <c r="V107" i="332"/>
  <c r="W107" i="332"/>
  <c r="X107" i="332" s="1"/>
  <c r="U103" i="332"/>
  <c r="V103" i="332"/>
  <c r="W103" i="332"/>
  <c r="X103" i="332" s="1"/>
  <c r="U97" i="332"/>
  <c r="V97" i="332"/>
  <c r="W97" i="332"/>
  <c r="X97" i="332" s="1"/>
  <c r="U89" i="332"/>
  <c r="V89" i="332"/>
  <c r="W89" i="332"/>
  <c r="X89" i="332" s="1"/>
  <c r="U85" i="332"/>
  <c r="V85" i="332"/>
  <c r="W85" i="332"/>
  <c r="X85" i="332" s="1"/>
  <c r="R129" i="332"/>
  <c r="S129" i="332"/>
  <c r="R128" i="332"/>
  <c r="S128" i="332"/>
  <c r="U76" i="332"/>
  <c r="V76" i="332"/>
  <c r="U67" i="332"/>
  <c r="V67" i="332"/>
  <c r="U62" i="332"/>
  <c r="V62" i="332"/>
  <c r="U54" i="332"/>
  <c r="V54" i="332"/>
  <c r="U47" i="332"/>
  <c r="V47" i="332"/>
  <c r="U41" i="332"/>
  <c r="V41" i="332"/>
  <c r="U35" i="332"/>
  <c r="V35" i="332"/>
  <c r="U28" i="332"/>
  <c r="V28" i="332"/>
  <c r="U23" i="332"/>
  <c r="V23" i="332"/>
  <c r="U16" i="332"/>
  <c r="V16" i="332"/>
  <c r="U12" i="332"/>
  <c r="V12" i="332"/>
  <c r="U106" i="332"/>
  <c r="U96" i="332"/>
  <c r="U88" i="332"/>
  <c r="U84" i="332"/>
  <c r="R126" i="332"/>
  <c r="R119" i="332"/>
  <c r="S119" i="332"/>
  <c r="P116" i="332"/>
  <c r="Q116" i="332"/>
  <c r="R116" i="332"/>
  <c r="S116" i="332" s="1"/>
  <c r="T114" i="332"/>
  <c r="U74" i="332"/>
  <c r="U66" i="332"/>
  <c r="U61" i="332"/>
  <c r="U51" i="332"/>
  <c r="U45" i="332"/>
  <c r="U39" i="332"/>
  <c r="U31" i="332"/>
  <c r="U27" i="332"/>
  <c r="U22" i="332"/>
  <c r="U15" i="332"/>
  <c r="U11" i="332"/>
  <c r="U110" i="332"/>
  <c r="U105" i="332"/>
  <c r="U99" i="332"/>
  <c r="Q100" i="332"/>
  <c r="U95" i="332"/>
  <c r="U87" i="332"/>
  <c r="U82" i="332"/>
  <c r="R132" i="332"/>
  <c r="S132" i="332"/>
  <c r="R124" i="332"/>
  <c r="S124" i="332"/>
  <c r="R123" i="332"/>
  <c r="S123" i="332"/>
  <c r="P120" i="332"/>
  <c r="Q120" i="332"/>
  <c r="R120" i="332"/>
  <c r="U71" i="332"/>
  <c r="U65" i="332"/>
  <c r="U60" i="332"/>
  <c r="U49" i="332"/>
  <c r="U44" i="332"/>
  <c r="U38" i="332"/>
  <c r="U30" i="332"/>
  <c r="U26" i="332"/>
  <c r="U20" i="332"/>
  <c r="U14" i="332"/>
  <c r="S133" i="332"/>
  <c r="R117" i="332"/>
  <c r="S117" i="332"/>
  <c r="T117" i="332"/>
  <c r="W80" i="332"/>
  <c r="X80" i="332"/>
  <c r="W77" i="332"/>
  <c r="X77" i="332"/>
  <c r="W70" i="332"/>
  <c r="X70" i="332"/>
  <c r="W64" i="332"/>
  <c r="X64" i="332"/>
  <c r="W56" i="332"/>
  <c r="X56" i="332"/>
  <c r="W48" i="332"/>
  <c r="X48" i="332"/>
  <c r="W42" i="332"/>
  <c r="X42" i="332"/>
  <c r="W36" i="332"/>
  <c r="X36" i="332"/>
  <c r="W29" i="332"/>
  <c r="X29" i="332"/>
  <c r="W24" i="332"/>
  <c r="X24" i="332"/>
  <c r="W17" i="332"/>
  <c r="X17" i="332"/>
  <c r="W13" i="332"/>
  <c r="X13" i="332"/>
  <c r="Q272" i="332"/>
  <c r="S275" i="332"/>
  <c r="V282" i="332"/>
  <c r="W282" i="332"/>
  <c r="X282" i="332" s="1"/>
  <c r="V274" i="332"/>
  <c r="W274" i="332"/>
  <c r="X274" i="332" s="1"/>
  <c r="U254" i="332"/>
  <c r="V254" i="332"/>
  <c r="W254" i="332" s="1"/>
  <c r="X254" i="332"/>
  <c r="T264" i="332"/>
  <c r="R261" i="332"/>
  <c r="S271" i="332"/>
  <c r="R258" i="332"/>
  <c r="S258" i="332"/>
  <c r="V255" i="332"/>
  <c r="W244" i="332"/>
  <c r="X244" i="332"/>
  <c r="W240" i="332"/>
  <c r="X240" i="332"/>
  <c r="W231" i="332"/>
  <c r="X231" i="332"/>
  <c r="W227" i="332"/>
  <c r="X227" i="332"/>
  <c r="W223" i="332"/>
  <c r="X223" i="332"/>
  <c r="W218" i="332"/>
  <c r="X218" i="332"/>
  <c r="W213" i="332"/>
  <c r="X213" i="332"/>
  <c r="W204" i="332"/>
  <c r="X204" i="332"/>
  <c r="W200" i="332"/>
  <c r="X200" i="332"/>
  <c r="W194" i="332"/>
  <c r="X194" i="332"/>
  <c r="W180" i="332"/>
  <c r="X180" i="332"/>
  <c r="W176" i="332"/>
  <c r="X176" i="332"/>
  <c r="W172" i="332"/>
  <c r="X172" i="332"/>
  <c r="W168" i="332"/>
  <c r="X168" i="332"/>
  <c r="W164" i="332"/>
  <c r="X164" i="332"/>
  <c r="W160" i="332"/>
  <c r="X160" i="332"/>
  <c r="W156" i="332"/>
  <c r="X156" i="332"/>
  <c r="W148" i="332"/>
  <c r="X148" i="332"/>
  <c r="W144" i="332"/>
  <c r="X144" i="332"/>
  <c r="S135" i="332"/>
  <c r="S270" i="332"/>
  <c r="T270" i="332"/>
  <c r="S265" i="332"/>
  <c r="T252" i="332"/>
  <c r="U252" i="332"/>
  <c r="V252" i="332"/>
  <c r="S269" i="332"/>
  <c r="T269" i="332"/>
  <c r="U262" i="332"/>
  <c r="V262" i="332"/>
  <c r="V259" i="332"/>
  <c r="W259" i="332"/>
  <c r="X259" i="332" s="1"/>
  <c r="V250" i="332"/>
  <c r="W250" i="332"/>
  <c r="X250" i="332" s="1"/>
  <c r="V243" i="332"/>
  <c r="W243" i="332"/>
  <c r="X243" i="332" s="1"/>
  <c r="V239" i="332"/>
  <c r="W239" i="332"/>
  <c r="X239" i="332" s="1"/>
  <c r="V230" i="332"/>
  <c r="W230" i="332"/>
  <c r="X230" i="332" s="1"/>
  <c r="V226" i="332"/>
  <c r="W226" i="332"/>
  <c r="X226" i="332" s="1"/>
  <c r="V221" i="332"/>
  <c r="W221" i="332"/>
  <c r="X221" i="332" s="1"/>
  <c r="V216" i="332"/>
  <c r="W216" i="332"/>
  <c r="X216" i="332" s="1"/>
  <c r="V212" i="332"/>
  <c r="W212" i="332"/>
  <c r="X212" i="332" s="1"/>
  <c r="V203" i="332"/>
  <c r="W203" i="332"/>
  <c r="X203" i="332" s="1"/>
  <c r="V199" i="332"/>
  <c r="W199" i="332"/>
  <c r="X199" i="332" s="1"/>
  <c r="V193" i="332"/>
  <c r="W193" i="332"/>
  <c r="X193" i="332" s="1"/>
  <c r="V179" i="332"/>
  <c r="W179" i="332"/>
  <c r="X179" i="332" s="1"/>
  <c r="V175" i="332"/>
  <c r="W175" i="332"/>
  <c r="X175" i="332" s="1"/>
  <c r="V171" i="332"/>
  <c r="W171" i="332"/>
  <c r="X171" i="332" s="1"/>
  <c r="V167" i="332"/>
  <c r="W167" i="332"/>
  <c r="X167" i="332" s="1"/>
  <c r="V163" i="332"/>
  <c r="W163" i="332"/>
  <c r="X163" i="332" s="1"/>
  <c r="V159" i="332"/>
  <c r="W159" i="332"/>
  <c r="X159" i="332" s="1"/>
  <c r="V155" i="332"/>
  <c r="W155" i="332"/>
  <c r="X155" i="332" s="1"/>
  <c r="V147" i="332"/>
  <c r="W147" i="332"/>
  <c r="X147" i="332" s="1"/>
  <c r="V143" i="332"/>
  <c r="W143" i="332"/>
  <c r="X143" i="332" s="1"/>
  <c r="R134" i="332"/>
  <c r="S134" i="332"/>
  <c r="R130" i="332"/>
  <c r="R125" i="332"/>
  <c r="S125" i="332"/>
  <c r="R268" i="332"/>
  <c r="T256" i="332"/>
  <c r="S253" i="332"/>
  <c r="T253" i="332"/>
  <c r="U253" i="332"/>
  <c r="T266" i="332"/>
  <c r="V263" i="332"/>
  <c r="V249" i="332"/>
  <c r="W249" i="332"/>
  <c r="X249" i="332" s="1"/>
  <c r="V242" i="332"/>
  <c r="W242" i="332"/>
  <c r="X242" i="332" s="1"/>
  <c r="V238" i="332"/>
  <c r="W238" i="332"/>
  <c r="X238" i="332" s="1"/>
  <c r="V229" i="332"/>
  <c r="W229" i="332"/>
  <c r="X229" i="332" s="1"/>
  <c r="V225" i="332"/>
  <c r="W225" i="332"/>
  <c r="X225" i="332" s="1"/>
  <c r="V220" i="332"/>
  <c r="W220" i="332"/>
  <c r="X220" i="332" s="1"/>
  <c r="V215" i="332"/>
  <c r="W215" i="332"/>
  <c r="X215" i="332" s="1"/>
  <c r="V210" i="332"/>
  <c r="W210" i="332"/>
  <c r="X210" i="332" s="1"/>
  <c r="V202" i="332"/>
  <c r="W202" i="332"/>
  <c r="X202" i="332" s="1"/>
  <c r="V196" i="332"/>
  <c r="W196" i="332"/>
  <c r="X196" i="332" s="1"/>
  <c r="V192" i="332"/>
  <c r="W192" i="332"/>
  <c r="X192" i="332" s="1"/>
  <c r="V178" i="332"/>
  <c r="W178" i="332"/>
  <c r="X178" i="332" s="1"/>
  <c r="V174" i="332"/>
  <c r="W174" i="332"/>
  <c r="X174" i="332" s="1"/>
  <c r="V170" i="332"/>
  <c r="W170" i="332"/>
  <c r="X170" i="332" s="1"/>
  <c r="V166" i="332"/>
  <c r="W166" i="332"/>
  <c r="X166" i="332" s="1"/>
  <c r="V162" i="332"/>
  <c r="W162" i="332"/>
  <c r="X162" i="332" s="1"/>
  <c r="V158" i="332"/>
  <c r="W158" i="332"/>
  <c r="X158" i="332" s="1"/>
  <c r="V150" i="332"/>
  <c r="W150" i="332"/>
  <c r="X150" i="332" s="1"/>
  <c r="V146" i="332"/>
  <c r="W146" i="332"/>
  <c r="X146" i="332" s="1"/>
  <c r="V142" i="332"/>
  <c r="W142" i="332"/>
  <c r="X142" i="332" s="1"/>
  <c r="W273" i="332"/>
  <c r="X273" i="332"/>
  <c r="S267" i="332"/>
  <c r="T267" i="332"/>
  <c r="T260" i="332"/>
  <c r="S257" i="332"/>
  <c r="T257" i="332"/>
  <c r="U257" i="332"/>
  <c r="R131" i="332"/>
  <c r="S131" i="332"/>
  <c r="R121" i="332"/>
  <c r="S121" i="332"/>
  <c r="T121" i="332"/>
  <c r="S118" i="332"/>
  <c r="T129" i="332"/>
  <c r="T128" i="332"/>
  <c r="W76" i="332"/>
  <c r="X76" i="332"/>
  <c r="W67" i="332"/>
  <c r="X67" i="332"/>
  <c r="W62" i="332"/>
  <c r="X62" i="332"/>
  <c r="W54" i="332"/>
  <c r="X54" i="332"/>
  <c r="W47" i="332"/>
  <c r="X47" i="332"/>
  <c r="W41" i="332"/>
  <c r="X41" i="332"/>
  <c r="W35" i="332"/>
  <c r="X35" i="332"/>
  <c r="W28" i="332"/>
  <c r="X28" i="332"/>
  <c r="W23" i="332"/>
  <c r="X23" i="332"/>
  <c r="W16" i="332"/>
  <c r="X16" i="332"/>
  <c r="W12" i="332"/>
  <c r="X12" i="332"/>
  <c r="V106" i="332"/>
  <c r="W106" i="332"/>
  <c r="X106" i="332" s="1"/>
  <c r="V96" i="332"/>
  <c r="W96" i="332"/>
  <c r="X96" i="332" s="1"/>
  <c r="V88" i="332"/>
  <c r="W88" i="332"/>
  <c r="X88" i="332" s="1"/>
  <c r="V84" i="332"/>
  <c r="W84" i="332"/>
  <c r="X84" i="332" s="1"/>
  <c r="S126" i="332"/>
  <c r="T119" i="332"/>
  <c r="T116" i="332"/>
  <c r="U114" i="332"/>
  <c r="V74" i="332"/>
  <c r="W74" i="332"/>
  <c r="X74" i="332" s="1"/>
  <c r="V66" i="332"/>
  <c r="W66" i="332"/>
  <c r="X66" i="332" s="1"/>
  <c r="V61" i="332"/>
  <c r="W61" i="332"/>
  <c r="X61" i="332" s="1"/>
  <c r="V51" i="332"/>
  <c r="W51" i="332"/>
  <c r="X51" i="332" s="1"/>
  <c r="V45" i="332"/>
  <c r="W45" i="332"/>
  <c r="X45" i="332" s="1"/>
  <c r="V39" i="332"/>
  <c r="W39" i="332"/>
  <c r="X39" i="332" s="1"/>
  <c r="V31" i="332"/>
  <c r="W31" i="332"/>
  <c r="X31" i="332" s="1"/>
  <c r="V27" i="332"/>
  <c r="W27" i="332"/>
  <c r="X27" i="332" s="1"/>
  <c r="V22" i="332"/>
  <c r="W22" i="332"/>
  <c r="X22" i="332" s="1"/>
  <c r="V15" i="332"/>
  <c r="W15" i="332"/>
  <c r="X15" i="332" s="1"/>
  <c r="V11" i="332"/>
  <c r="W11" i="332"/>
  <c r="X11" i="332" s="1"/>
  <c r="V110" i="332"/>
  <c r="W110" i="332"/>
  <c r="X110" i="332" s="1"/>
  <c r="V105" i="332"/>
  <c r="W105" i="332"/>
  <c r="X105" i="332" s="1"/>
  <c r="V99" i="332"/>
  <c r="W99" i="332"/>
  <c r="X99" i="332" s="1"/>
  <c r="R100" i="332"/>
  <c r="S100" i="332"/>
  <c r="T100" i="332"/>
  <c r="U100" i="332"/>
  <c r="V95" i="332"/>
  <c r="W95" i="332"/>
  <c r="X95" i="332" s="1"/>
  <c r="V87" i="332"/>
  <c r="W87" i="332"/>
  <c r="X87" i="332" s="1"/>
  <c r="V82" i="332"/>
  <c r="W82" i="332"/>
  <c r="X82" i="332" s="1"/>
  <c r="T132" i="332"/>
  <c r="U132" i="332"/>
  <c r="V132" i="332"/>
  <c r="T124" i="332"/>
  <c r="U124" i="332"/>
  <c r="V124" i="332" s="1"/>
  <c r="T123" i="332"/>
  <c r="U123" i="332"/>
  <c r="V123" i="332"/>
  <c r="S120" i="332"/>
  <c r="V71" i="332"/>
  <c r="W71" i="332"/>
  <c r="X71" i="332" s="1"/>
  <c r="V65" i="332"/>
  <c r="W65" i="332"/>
  <c r="X65" i="332" s="1"/>
  <c r="V60" i="332"/>
  <c r="W60" i="332"/>
  <c r="X60" i="332" s="1"/>
  <c r="V49" i="332"/>
  <c r="W49" i="332"/>
  <c r="X49" i="332" s="1"/>
  <c r="V44" i="332"/>
  <c r="W44" i="332"/>
  <c r="X44" i="332" s="1"/>
  <c r="V38" i="332"/>
  <c r="W38" i="332"/>
  <c r="X38" i="332" s="1"/>
  <c r="V30" i="332"/>
  <c r="W30" i="332"/>
  <c r="X30" i="332" s="1"/>
  <c r="V26" i="332"/>
  <c r="W26" i="332"/>
  <c r="X26" i="332" s="1"/>
  <c r="V20" i="332"/>
  <c r="W20" i="332"/>
  <c r="X20" i="332" s="1"/>
  <c r="V14" i="332"/>
  <c r="W14" i="332"/>
  <c r="X14" i="332" s="1"/>
  <c r="T133" i="332"/>
  <c r="U133" i="332"/>
  <c r="V133" i="332" s="1"/>
  <c r="W133" i="332"/>
  <c r="X133" i="332"/>
  <c r="U117" i="332"/>
  <c r="R272" i="332"/>
  <c r="S272" i="332"/>
  <c r="T272" i="332"/>
  <c r="U272" i="332"/>
  <c r="V272" i="332" s="1"/>
  <c r="T275" i="332"/>
  <c r="U275" i="332"/>
  <c r="U264" i="332"/>
  <c r="V264" i="332"/>
  <c r="W264" i="332"/>
  <c r="X264" i="332" s="1"/>
  <c r="S261" i="332"/>
  <c r="T261" i="332"/>
  <c r="U261" i="332"/>
  <c r="T271" i="332"/>
  <c r="T258" i="332"/>
  <c r="W255" i="332"/>
  <c r="X255" i="332"/>
  <c r="T135" i="332"/>
  <c r="U135" i="332"/>
  <c r="U270" i="332"/>
  <c r="V270" i="332"/>
  <c r="W270" i="332"/>
  <c r="X270" i="332" s="1"/>
  <c r="T265" i="332"/>
  <c r="U265" i="332" s="1"/>
  <c r="V265" i="332"/>
  <c r="W265" i="332"/>
  <c r="X265" i="332"/>
  <c r="W252" i="332"/>
  <c r="X252" i="332"/>
  <c r="U269" i="332"/>
  <c r="V269" i="332" s="1"/>
  <c r="W269" i="332"/>
  <c r="X269" i="332"/>
  <c r="W262" i="332"/>
  <c r="X262" i="332"/>
  <c r="T134" i="332"/>
  <c r="S130" i="332"/>
  <c r="T125" i="332"/>
  <c r="S268" i="332"/>
  <c r="T268" i="332"/>
  <c r="U256" i="332"/>
  <c r="V256" i="332" s="1"/>
  <c r="W256" i="332"/>
  <c r="X256" i="332" s="1"/>
  <c r="V253" i="332"/>
  <c r="W253" i="332"/>
  <c r="X253" i="332"/>
  <c r="U266" i="332"/>
  <c r="V266" i="332"/>
  <c r="W263" i="332"/>
  <c r="X263" i="332"/>
  <c r="U267" i="332"/>
  <c r="V267" i="332"/>
  <c r="U260" i="332"/>
  <c r="V260" i="332"/>
  <c r="W260" i="332"/>
  <c r="X260" i="332" s="1"/>
  <c r="V257" i="332"/>
  <c r="T131" i="332"/>
  <c r="U131" i="332"/>
  <c r="U121" i="332"/>
  <c r="T118" i="332"/>
  <c r="U118" i="332"/>
  <c r="V118" i="332"/>
  <c r="U129" i="332"/>
  <c r="V129" i="332" s="1"/>
  <c r="W129" i="332"/>
  <c r="X129" i="332"/>
  <c r="U128" i="332"/>
  <c r="T126" i="332"/>
  <c r="U126" i="332"/>
  <c r="U119" i="332"/>
  <c r="V119" i="332" s="1"/>
  <c r="W119" i="332"/>
  <c r="X119" i="332" s="1"/>
  <c r="U116" i="332"/>
  <c r="V116" i="332"/>
  <c r="V114" i="332"/>
  <c r="V100" i="332"/>
  <c r="W100" i="332"/>
  <c r="X100" i="332" s="1"/>
  <c r="W132" i="332"/>
  <c r="X132" i="332" s="1"/>
  <c r="W124" i="332"/>
  <c r="X124" i="332"/>
  <c r="W123" i="332"/>
  <c r="X123" i="332" s="1"/>
  <c r="T120" i="332"/>
  <c r="U120" i="332"/>
  <c r="V120" i="332"/>
  <c r="V117" i="332"/>
  <c r="W117" i="332" s="1"/>
  <c r="X117" i="332"/>
  <c r="W272" i="332"/>
  <c r="X272" i="332" s="1"/>
  <c r="V275" i="332"/>
  <c r="W275" i="332"/>
  <c r="X275" i="332" s="1"/>
  <c r="V261" i="332"/>
  <c r="U271" i="332"/>
  <c r="U258" i="332"/>
  <c r="V258" i="332"/>
  <c r="W258" i="332"/>
  <c r="X258" i="332" s="1"/>
  <c r="V135" i="332"/>
  <c r="W135" i="332" s="1"/>
  <c r="X135" i="332"/>
  <c r="U134" i="332"/>
  <c r="T130" i="332"/>
  <c r="U125" i="332"/>
  <c r="U268" i="332"/>
  <c r="V268" i="332"/>
  <c r="W268" i="332"/>
  <c r="X268" i="332" s="1"/>
  <c r="W266" i="332"/>
  <c r="X266" i="332" s="1"/>
  <c r="W267" i="332"/>
  <c r="X267" i="332"/>
  <c r="W257" i="332"/>
  <c r="X257" i="332"/>
  <c r="V131" i="332"/>
  <c r="W131" i="332" s="1"/>
  <c r="X131" i="332"/>
  <c r="V121" i="332"/>
  <c r="W121" i="332" s="1"/>
  <c r="X121" i="332"/>
  <c r="W118" i="332"/>
  <c r="X118" i="332"/>
  <c r="V128" i="332"/>
  <c r="V126" i="332"/>
  <c r="W126" i="332" s="1"/>
  <c r="X126" i="332"/>
  <c r="W116" i="332"/>
  <c r="X116" i="332"/>
  <c r="W114" i="332"/>
  <c r="X114" i="332"/>
  <c r="W120" i="332"/>
  <c r="X120" i="332"/>
  <c r="W261" i="332"/>
  <c r="X261" i="332"/>
  <c r="V271" i="332"/>
  <c r="W271" i="332" s="1"/>
  <c r="X271" i="332"/>
  <c r="V134" i="332"/>
  <c r="W134" i="332"/>
  <c r="X134" i="332"/>
  <c r="U130" i="332"/>
  <c r="V130" i="332"/>
  <c r="V125" i="332"/>
  <c r="W125" i="332"/>
  <c r="X125" i="332" s="1"/>
  <c r="W128" i="332"/>
  <c r="X128" i="332"/>
  <c r="W130" i="332"/>
  <c r="X130" i="332" s="1"/>
  <c r="I111" i="332" l="1"/>
  <c r="I207" i="332"/>
  <c r="H111" i="332"/>
  <c r="H207" i="332"/>
  <c r="J111" i="332"/>
  <c r="J207" i="332"/>
  <c r="S111" i="332"/>
  <c r="S207" i="332"/>
  <c r="M111" i="332"/>
  <c r="M207" i="332"/>
  <c r="Y111" i="332"/>
  <c r="AA107" i="332"/>
  <c r="C107" i="332" s="1"/>
  <c r="Y207" i="332"/>
  <c r="AA203" i="332"/>
  <c r="AB203" i="332" s="1"/>
  <c r="AD107" i="332"/>
  <c r="AE107" i="332" s="1"/>
  <c r="AD203" i="332"/>
  <c r="AE203" i="332" s="1"/>
  <c r="T352" i="332"/>
  <c r="T349" i="332" s="1"/>
  <c r="T356" i="332"/>
  <c r="T339" i="332"/>
  <c r="S352" i="332"/>
  <c r="S339" i="332"/>
  <c r="S356" i="332"/>
  <c r="AB107" i="332" l="1"/>
  <c r="X207" i="332"/>
  <c r="X111" i="332"/>
  <c r="W207" i="332"/>
  <c r="W111" i="332"/>
  <c r="V207" i="332"/>
  <c r="V111" i="332"/>
  <c r="U207" i="332"/>
  <c r="U111" i="332"/>
  <c r="T151" i="332"/>
  <c r="T152" i="332" s="1"/>
  <c r="T362" i="332"/>
  <c r="T222" i="332"/>
  <c r="T140" i="332"/>
  <c r="T205" i="332"/>
  <c r="T109" i="332"/>
  <c r="T217" i="332"/>
  <c r="T115" i="332"/>
  <c r="T236" i="332"/>
  <c r="T246" i="332"/>
  <c r="T122" i="332"/>
  <c r="T136" i="332"/>
  <c r="T276" i="332"/>
  <c r="T279" i="332" s="1"/>
  <c r="T232" i="332"/>
  <c r="T207" i="332"/>
  <c r="T182" i="332"/>
  <c r="T183" i="332" s="1"/>
  <c r="T127" i="332"/>
  <c r="T363" i="332"/>
  <c r="T83" i="332"/>
  <c r="T111" i="332"/>
  <c r="T78" i="332"/>
  <c r="T63" i="332"/>
  <c r="T46" i="332"/>
  <c r="T18" i="332"/>
  <c r="T58" i="332" s="1"/>
  <c r="T93" i="332" s="1"/>
  <c r="T40" i="332"/>
  <c r="T25" i="332" s="1"/>
  <c r="T73" i="332"/>
  <c r="T197" i="332"/>
  <c r="T198" i="332" s="1"/>
  <c r="T101" i="332"/>
  <c r="T102" i="332" s="1"/>
  <c r="T37" i="332"/>
  <c r="T79" i="332"/>
  <c r="T43" i="332"/>
  <c r="T72" i="332"/>
  <c r="T75" i="332"/>
  <c r="T68" i="332"/>
  <c r="T50" i="332"/>
  <c r="R111" i="332"/>
  <c r="R207" i="332"/>
  <c r="Q207" i="332"/>
  <c r="Q111" i="332"/>
  <c r="P207" i="332"/>
  <c r="P111" i="332"/>
  <c r="O207" i="332"/>
  <c r="O111" i="332"/>
  <c r="N207" i="332"/>
  <c r="N111" i="332"/>
  <c r="D107" i="332"/>
  <c r="C203" i="332"/>
  <c r="D203" i="332"/>
  <c r="T353" i="332"/>
  <c r="T359" i="332"/>
  <c r="T360" i="332" s="1"/>
  <c r="S349" i="332"/>
  <c r="S353" i="332"/>
  <c r="T233" i="332" l="1"/>
  <c r="T211" i="332" s="1"/>
  <c r="T112" i="332"/>
  <c r="T153" i="332"/>
  <c r="T184" i="332"/>
  <c r="T52" i="332"/>
  <c r="T32" i="332" s="1"/>
  <c r="T33" i="332" s="1"/>
  <c r="T365" i="332"/>
  <c r="T137" i="332"/>
  <c r="T138" i="332" s="1"/>
  <c r="T91" i="332"/>
  <c r="T90" i="332" s="1"/>
  <c r="T208" i="332"/>
  <c r="T247" i="332"/>
  <c r="T283" i="332"/>
  <c r="T280" i="332"/>
  <c r="T367" i="332"/>
  <c r="T234" i="332"/>
  <c r="T285" i="332" l="1"/>
  <c r="T286" i="332" s="1"/>
  <c r="T186" i="332"/>
  <c r="T189" i="332" l="1"/>
  <c r="T187" i="332"/>
  <c r="T190" i="332" l="1"/>
  <c r="T288" i="332"/>
  <c r="T289" i="332" s="1"/>
  <c r="S362" i="332" l="1"/>
  <c r="S109" i="332"/>
  <c r="S236" i="332"/>
  <c r="S101" i="332" l="1"/>
  <c r="S102" i="332" s="1"/>
  <c r="S363" i="332"/>
  <c r="T24" i="340"/>
  <c r="S205" i="332"/>
  <c r="S367" i="332" s="1"/>
  <c r="S151" i="332"/>
  <c r="S152" i="332" s="1"/>
  <c r="S276" i="332"/>
  <c r="S279" i="332" s="1"/>
  <c r="S246" i="332"/>
  <c r="S68" i="332"/>
  <c r="S222" i="332"/>
  <c r="S75" i="332"/>
  <c r="S232" i="332"/>
  <c r="S37" i="332"/>
  <c r="S115" i="332"/>
  <c r="S83" i="332"/>
  <c r="S79" i="332"/>
  <c r="S217" i="332"/>
  <c r="S136" i="332"/>
  <c r="S18" i="332"/>
  <c r="S58" i="332" s="1"/>
  <c r="S93" i="332" s="1"/>
  <c r="S72" i="332"/>
  <c r="S197" i="332"/>
  <c r="S198" i="332" s="1"/>
  <c r="S43" i="332"/>
  <c r="S140" i="332"/>
  <c r="S365" i="332" s="1"/>
  <c r="S50" i="332"/>
  <c r="S127" i="332"/>
  <c r="S63" i="332"/>
  <c r="S78" i="332"/>
  <c r="S73" i="332"/>
  <c r="S40" i="332"/>
  <c r="S25" i="332" s="1"/>
  <c r="S46" i="332"/>
  <c r="S182" i="332"/>
  <c r="S183" i="332" s="1"/>
  <c r="S122" i="332"/>
  <c r="T23" i="340"/>
  <c r="S233" i="332" l="1"/>
  <c r="S285" i="332" s="1"/>
  <c r="S286" i="332" s="1"/>
  <c r="T22" i="340"/>
  <c r="S137" i="332"/>
  <c r="S153" i="332"/>
  <c r="S91" i="332"/>
  <c r="S90" i="332" s="1"/>
  <c r="S247" i="332"/>
  <c r="S112" i="332"/>
  <c r="S52" i="332"/>
  <c r="S32" i="332" s="1"/>
  <c r="S33" i="332" s="1"/>
  <c r="S184" i="332"/>
  <c r="S208" i="332"/>
  <c r="S283" i="332"/>
  <c r="S280" i="332"/>
  <c r="S211" i="332" l="1"/>
  <c r="S234" i="332"/>
  <c r="S138" i="332"/>
  <c r="S186" i="332"/>
  <c r="AA223" i="332"/>
  <c r="AB223" i="332" s="1"/>
  <c r="AD223" i="332"/>
  <c r="AE223" i="332" s="1"/>
  <c r="S187" i="332" l="1"/>
  <c r="S189" i="332"/>
  <c r="S190" i="332" l="1"/>
  <c r="S288" i="332"/>
  <c r="S289" i="332" s="1"/>
  <c r="AA135" i="332" l="1"/>
  <c r="AB135" i="332" s="1"/>
  <c r="AD135" i="332"/>
  <c r="AE135" i="332" s="1"/>
  <c r="Z5" i="340" l="1"/>
  <c r="Y5" i="340"/>
  <c r="X5" i="340"/>
  <c r="W5" i="340"/>
  <c r="V5" i="340"/>
  <c r="U5" i="340"/>
  <c r="S5" i="340"/>
  <c r="R5" i="340"/>
  <c r="Q5" i="340"/>
  <c r="P5" i="340"/>
  <c r="O5" i="340"/>
  <c r="N5" i="340"/>
  <c r="Z4" i="340"/>
  <c r="Y4" i="340"/>
  <c r="X4" i="340"/>
  <c r="W4" i="340"/>
  <c r="V4" i="340"/>
  <c r="U4" i="340"/>
  <c r="S4" i="340"/>
  <c r="R4" i="340"/>
  <c r="Q4" i="340"/>
  <c r="P4" i="340"/>
  <c r="O4" i="340"/>
  <c r="N4" i="340"/>
  <c r="M4" i="340"/>
  <c r="L4" i="340"/>
  <c r="K4" i="340"/>
  <c r="J4" i="340"/>
  <c r="I4" i="340"/>
  <c r="Z3" i="340"/>
  <c r="Y3" i="340"/>
  <c r="X3" i="340"/>
  <c r="W3" i="340"/>
  <c r="V3" i="340"/>
  <c r="U3" i="340"/>
  <c r="S3" i="340"/>
  <c r="R3" i="340"/>
  <c r="Q3" i="340"/>
  <c r="P3" i="340"/>
  <c r="O3" i="340"/>
  <c r="N3" i="340"/>
  <c r="M3" i="340"/>
  <c r="L3" i="340"/>
  <c r="K3" i="340"/>
  <c r="J3" i="340"/>
  <c r="I3" i="340"/>
  <c r="Y2" i="340"/>
  <c r="X2" i="340"/>
  <c r="W2" i="340"/>
  <c r="V2" i="340"/>
  <c r="U2" i="340"/>
  <c r="S2" i="340"/>
  <c r="R2" i="340"/>
  <c r="Q2" i="340"/>
  <c r="P2" i="340"/>
  <c r="O2" i="340"/>
  <c r="N2" i="340"/>
  <c r="M2" i="340"/>
  <c r="L2" i="340"/>
  <c r="K2" i="340"/>
  <c r="J2" i="340"/>
  <c r="I2" i="340"/>
  <c r="M6" i="340"/>
  <c r="L6" i="340"/>
  <c r="K6" i="340"/>
  <c r="J6" i="340"/>
  <c r="B3" i="340"/>
  <c r="Y24" i="340" l="1"/>
  <c r="X24" i="340"/>
  <c r="X136" i="332"/>
  <c r="W136" i="332"/>
  <c r="W24" i="340"/>
  <c r="V136" i="332"/>
  <c r="L136" i="332"/>
  <c r="X356" i="332"/>
  <c r="H356" i="332"/>
  <c r="K356" i="332"/>
  <c r="U356" i="332"/>
  <c r="J136" i="332"/>
  <c r="L356" i="332"/>
  <c r="V356" i="332"/>
  <c r="H136" i="332"/>
  <c r="K136" i="332"/>
  <c r="J356" i="332"/>
  <c r="W356" i="332"/>
  <c r="I24" i="340"/>
  <c r="L24" i="340"/>
  <c r="K24" i="340"/>
  <c r="M24" i="340"/>
  <c r="W22" i="340"/>
  <c r="Y23" i="340"/>
  <c r="X22" i="340"/>
  <c r="W23" i="340"/>
  <c r="Y22" i="340"/>
  <c r="X23" i="340"/>
  <c r="K22" i="340"/>
  <c r="I23" i="340"/>
  <c r="L23" i="340"/>
  <c r="M22" i="340"/>
  <c r="K23" i="340"/>
  <c r="I22" i="340"/>
  <c r="L22" i="340"/>
  <c r="M23" i="340"/>
  <c r="U136" i="332" l="1"/>
  <c r="V23" i="340"/>
  <c r="V24" i="340"/>
  <c r="V22" i="340"/>
  <c r="U23" i="340"/>
  <c r="U24" i="340"/>
  <c r="U22" i="340"/>
  <c r="AH13" i="340"/>
  <c r="Z22" i="340"/>
  <c r="AH11" i="340"/>
  <c r="J22" i="340"/>
  <c r="AH14" i="340"/>
  <c r="AH20" i="340"/>
  <c r="AH12" i="340"/>
  <c r="D12" i="340"/>
  <c r="AH18" i="340"/>
  <c r="J24" i="340"/>
  <c r="N23" i="340"/>
  <c r="AH19" i="340"/>
  <c r="J23" i="340"/>
  <c r="AH15" i="340"/>
  <c r="Z24" i="340"/>
  <c r="AH16" i="340"/>
  <c r="N24" i="340"/>
  <c r="AH17" i="340"/>
  <c r="Z23" i="340"/>
  <c r="N22" i="340"/>
  <c r="Y136" i="332"/>
  <c r="M136" i="332"/>
  <c r="N356" i="332"/>
  <c r="I136" i="332"/>
  <c r="Q356" i="332"/>
  <c r="O356" i="332"/>
  <c r="P356" i="332"/>
  <c r="M356" i="332"/>
  <c r="I356" i="332"/>
  <c r="R356" i="332"/>
  <c r="E19" i="340"/>
  <c r="D17" i="340"/>
  <c r="E12" i="340"/>
  <c r="E20" i="340"/>
  <c r="D15" i="340"/>
  <c r="D20" i="340"/>
  <c r="D19" i="340"/>
  <c r="D18" i="340"/>
  <c r="E13" i="340"/>
  <c r="E15" i="340"/>
  <c r="E14" i="340"/>
  <c r="N136" i="332"/>
  <c r="AE24" i="340"/>
  <c r="AB24" i="340"/>
  <c r="AE23" i="340"/>
  <c r="AE22" i="340"/>
  <c r="D13" i="340"/>
  <c r="AB23" i="340"/>
  <c r="AB22" i="340"/>
  <c r="AH23" i="340" l="1"/>
  <c r="AC23" i="340"/>
  <c r="AH24" i="340"/>
  <c r="AH22" i="340"/>
  <c r="AF24" i="340"/>
  <c r="S24" i="340"/>
  <c r="R24" i="340"/>
  <c r="Q24" i="340"/>
  <c r="S23" i="340"/>
  <c r="R23" i="340"/>
  <c r="S22" i="340"/>
  <c r="R22" i="340"/>
  <c r="P24" i="340"/>
  <c r="Q23" i="340"/>
  <c r="Q22" i="340"/>
  <c r="R136" i="332"/>
  <c r="Q136" i="332"/>
  <c r="P136" i="332"/>
  <c r="O24" i="340"/>
  <c r="O22" i="340"/>
  <c r="P23" i="340"/>
  <c r="P22" i="340"/>
  <c r="O136" i="332"/>
  <c r="O23" i="340"/>
  <c r="E16" i="340"/>
  <c r="E18" i="340"/>
  <c r="E17" i="340"/>
  <c r="D14" i="340"/>
  <c r="AC24" i="340"/>
  <c r="AC22" i="340"/>
  <c r="AF22" i="340"/>
  <c r="E11" i="340"/>
  <c r="AF23" i="340"/>
  <c r="D11" i="340"/>
  <c r="D16" i="340"/>
  <c r="Y10" i="332" l="1"/>
  <c r="Y9" i="332"/>
  <c r="Y35" i="340" l="1"/>
  <c r="X35" i="340"/>
  <c r="W35" i="340"/>
  <c r="V35" i="340"/>
  <c r="U35" i="340"/>
  <c r="T35" i="340"/>
  <c r="S35" i="340"/>
  <c r="R35" i="340"/>
  <c r="K35" i="340"/>
  <c r="I35" i="340"/>
  <c r="J35" i="340"/>
  <c r="Z35" i="340"/>
  <c r="O35" i="340"/>
  <c r="Q35" i="340"/>
  <c r="P35" i="340"/>
  <c r="N35" i="340" l="1"/>
  <c r="M35" i="340"/>
  <c r="L35" i="340" l="1"/>
  <c r="AJ20" i="340"/>
  <c r="AK20" i="340" s="1"/>
  <c r="Y33" i="340" l="1"/>
  <c r="X33" i="340"/>
  <c r="W33" i="340"/>
  <c r="V33" i="340"/>
  <c r="U33" i="340"/>
  <c r="T33" i="340"/>
  <c r="S33" i="340"/>
  <c r="R33" i="340"/>
  <c r="I33" i="340"/>
  <c r="K33" i="340"/>
  <c r="J33" i="340"/>
  <c r="P33" i="340"/>
  <c r="O33" i="340"/>
  <c r="Q33" i="340"/>
  <c r="Z33" i="340" l="1"/>
  <c r="N33" i="340"/>
  <c r="L33" i="340" l="1"/>
  <c r="M33" i="340" l="1"/>
  <c r="AJ18" i="340" l="1"/>
  <c r="AK18" i="340" s="1"/>
  <c r="Y32" i="340" l="1"/>
  <c r="X32" i="340"/>
  <c r="W32" i="340"/>
  <c r="V32" i="340"/>
  <c r="U32" i="340"/>
  <c r="T32" i="340"/>
  <c r="S32" i="340"/>
  <c r="R32" i="340"/>
  <c r="I32" i="340"/>
  <c r="K32" i="340"/>
  <c r="J32" i="340"/>
  <c r="Z32" i="340"/>
  <c r="P32" i="340"/>
  <c r="Q32" i="340"/>
  <c r="O32" i="340"/>
  <c r="N32" i="340" l="1"/>
  <c r="L32" i="340" l="1"/>
  <c r="M32" i="340"/>
  <c r="AJ17" i="340" l="1"/>
  <c r="AK17" i="340" s="1"/>
  <c r="Y34" i="340" l="1"/>
  <c r="X34" i="340"/>
  <c r="W34" i="340"/>
  <c r="V34" i="340"/>
  <c r="U34" i="340"/>
  <c r="T34" i="340"/>
  <c r="S34" i="340"/>
  <c r="R34" i="340"/>
  <c r="K34" i="340"/>
  <c r="I34" i="340"/>
  <c r="Z34" i="340"/>
  <c r="J34" i="340"/>
  <c r="P34" i="340"/>
  <c r="O34" i="340"/>
  <c r="Q34" i="340"/>
  <c r="N34" i="340" l="1"/>
  <c r="M34" i="340"/>
  <c r="L34" i="340" l="1"/>
  <c r="AJ19" i="340"/>
  <c r="AK19" i="340" s="1"/>
  <c r="AK23" i="340" l="1"/>
  <c r="AJ23" i="340"/>
  <c r="L5" i="340" l="1"/>
  <c r="M5" i="340"/>
  <c r="F377" i="332" l="1"/>
  <c r="L377" i="332"/>
  <c r="AA351" i="332" l="1"/>
  <c r="AD351" i="332"/>
  <c r="X352" i="332"/>
  <c r="W352" i="332"/>
  <c r="W353" i="332" s="1"/>
  <c r="V352" i="332"/>
  <c r="V353" i="332" s="1"/>
  <c r="L378" i="332" l="1"/>
  <c r="X359" i="332"/>
  <c r="X360" i="332" s="1"/>
  <c r="X353" i="332"/>
  <c r="W359" i="332"/>
  <c r="W360" i="332" s="1"/>
  <c r="H352" i="332"/>
  <c r="I352" i="332"/>
  <c r="J352" i="332"/>
  <c r="J353" i="332" s="1"/>
  <c r="K352" i="332"/>
  <c r="AA350" i="332"/>
  <c r="L352" i="332"/>
  <c r="AD350" i="332"/>
  <c r="M352" i="332"/>
  <c r="M353" i="332" s="1"/>
  <c r="N352" i="332"/>
  <c r="N353" i="332" s="1"/>
  <c r="O352" i="332"/>
  <c r="O353" i="332" s="1"/>
  <c r="P352" i="332"/>
  <c r="P353" i="332" s="1"/>
  <c r="Q352" i="332"/>
  <c r="Q353" i="332" s="1"/>
  <c r="R352" i="332"/>
  <c r="U352" i="332"/>
  <c r="X349" i="332"/>
  <c r="W349" i="332"/>
  <c r="V349" i="332"/>
  <c r="H359" i="332"/>
  <c r="R353" i="332" l="1"/>
  <c r="S359" i="332"/>
  <c r="S360" i="332" s="1"/>
  <c r="K349" i="332"/>
  <c r="K353" i="332"/>
  <c r="H353" i="332"/>
  <c r="I349" i="332"/>
  <c r="I353" i="332"/>
  <c r="V359" i="332"/>
  <c r="V360" i="332" s="1"/>
  <c r="U353" i="332"/>
  <c r="L349" i="332"/>
  <c r="L353" i="332"/>
  <c r="J359" i="332"/>
  <c r="J360" i="332" s="1"/>
  <c r="O359" i="332"/>
  <c r="O360" i="332" s="1"/>
  <c r="H349" i="332"/>
  <c r="L360" i="332"/>
  <c r="AD360" i="332" s="1"/>
  <c r="AD352" i="332"/>
  <c r="AD349" i="332" s="1"/>
  <c r="K360" i="332"/>
  <c r="AA360" i="332" s="1"/>
  <c r="AA352" i="332"/>
  <c r="AA349" i="332" s="1"/>
  <c r="U359" i="332"/>
  <c r="U360" i="332" s="1"/>
  <c r="P359" i="332"/>
  <c r="P360" i="332" s="1"/>
  <c r="J349" i="332"/>
  <c r="Q359" i="332"/>
  <c r="Q360" i="332" s="1"/>
  <c r="M359" i="332"/>
  <c r="M360" i="332" s="1"/>
  <c r="R359" i="332"/>
  <c r="R360" i="332" s="1"/>
  <c r="N359" i="332"/>
  <c r="N360" i="332" s="1"/>
  <c r="H360" i="332" l="1"/>
  <c r="U349" i="332"/>
  <c r="R349" i="332"/>
  <c r="Q349" i="332"/>
  <c r="P349" i="332"/>
  <c r="O349" i="332"/>
  <c r="N349" i="332"/>
  <c r="M349" i="332"/>
  <c r="L348" i="332"/>
  <c r="AD348" i="332" s="1"/>
  <c r="AE348" i="332" s="1"/>
  <c r="K348" i="332"/>
  <c r="AA348" i="332" s="1"/>
  <c r="AB348" i="332" s="1"/>
  <c r="D346" i="332"/>
  <c r="C346" i="332"/>
  <c r="D345" i="332"/>
  <c r="C345" i="332"/>
  <c r="D344" i="332"/>
  <c r="C344" i="332"/>
  <c r="D343" i="332"/>
  <c r="C343" i="332"/>
  <c r="D342" i="332"/>
  <c r="C342" i="332"/>
  <c r="D341" i="332"/>
  <c r="C341" i="332"/>
  <c r="X339" i="332"/>
  <c r="W339" i="332"/>
  <c r="V339" i="332"/>
  <c r="D348" i="332" l="1"/>
  <c r="C348" i="332"/>
  <c r="AA338" i="332"/>
  <c r="AD338" i="332"/>
  <c r="H339" i="332" l="1"/>
  <c r="J339" i="332"/>
  <c r="K339" i="332"/>
  <c r="AA339" i="332" s="1"/>
  <c r="AA337" i="332"/>
  <c r="L339" i="332"/>
  <c r="AD339" i="332" s="1"/>
  <c r="AD337" i="332"/>
  <c r="M339" i="332"/>
  <c r="N339" i="332"/>
  <c r="O339" i="332"/>
  <c r="P339" i="332"/>
  <c r="Q339" i="332"/>
  <c r="R339" i="332"/>
  <c r="U339" i="332"/>
  <c r="AA282" i="332" l="1"/>
  <c r="AD282" i="332"/>
  <c r="AE282" i="332" l="1"/>
  <c r="D282" i="332" s="1"/>
  <c r="AB282" i="332"/>
  <c r="C282" i="332" s="1"/>
  <c r="AA278" i="332" l="1"/>
  <c r="AB278" i="332" s="1"/>
  <c r="AD278" i="332"/>
  <c r="AE278" i="332" s="1"/>
  <c r="C278" i="332" l="1"/>
  <c r="D278" i="332"/>
  <c r="AA277" i="332" l="1"/>
  <c r="AB277" i="332" s="1"/>
  <c r="AD277" i="332"/>
  <c r="AE277" i="332" s="1"/>
  <c r="C277" i="332" l="1"/>
  <c r="D277" i="332"/>
  <c r="AA275" i="332" l="1"/>
  <c r="AB275" i="332" s="1"/>
  <c r="AD275" i="332"/>
  <c r="AE275" i="332" s="1"/>
  <c r="C275" i="332" l="1"/>
  <c r="D275" i="332"/>
  <c r="AA274" i="332" l="1"/>
  <c r="AB274" i="332" s="1"/>
  <c r="AD274" i="332"/>
  <c r="AE274" i="332" s="1"/>
  <c r="C274" i="332" l="1"/>
  <c r="D274" i="332"/>
  <c r="AA273" i="332" l="1"/>
  <c r="AB273" i="332" s="1"/>
  <c r="AD273" i="332"/>
  <c r="AE273" i="332" s="1"/>
  <c r="C273" i="332" l="1"/>
  <c r="D273" i="332"/>
  <c r="AA272" i="332" l="1"/>
  <c r="AB272" i="332" s="1"/>
  <c r="AD272" i="332"/>
  <c r="AE272" i="332" s="1"/>
  <c r="C272" i="332" l="1"/>
  <c r="D272" i="332"/>
  <c r="AA271" i="332" l="1"/>
  <c r="AB271" i="332" s="1"/>
  <c r="AD271" i="332"/>
  <c r="AE271" i="332" s="1"/>
  <c r="C271" i="332" l="1"/>
  <c r="D271" i="332"/>
  <c r="AA270" i="332" l="1"/>
  <c r="AB270" i="332" s="1"/>
  <c r="AD270" i="332"/>
  <c r="AE270" i="332" s="1"/>
  <c r="C270" i="332" l="1"/>
  <c r="D270" i="332"/>
  <c r="AA269" i="332" l="1"/>
  <c r="AB269" i="332" s="1"/>
  <c r="AD269" i="332"/>
  <c r="AE269" i="332" s="1"/>
  <c r="C269" i="332" l="1"/>
  <c r="D269" i="332"/>
  <c r="AA268" i="332" l="1"/>
  <c r="AB268" i="332" s="1"/>
  <c r="AD268" i="332"/>
  <c r="AE268" i="332" s="1"/>
  <c r="D268" i="332" l="1"/>
  <c r="C268" i="332"/>
  <c r="AA267" i="332" l="1"/>
  <c r="AB267" i="332" s="1"/>
  <c r="AD267" i="332"/>
  <c r="AE267" i="332" s="1"/>
  <c r="C267" i="332" l="1"/>
  <c r="D267" i="332"/>
  <c r="AA266" i="332" l="1"/>
  <c r="AB266" i="332" s="1"/>
  <c r="AD266" i="332"/>
  <c r="AE266" i="332" s="1"/>
  <c r="C266" i="332" l="1"/>
  <c r="D266" i="332"/>
  <c r="AA265" i="332" l="1"/>
  <c r="AB265" i="332" s="1"/>
  <c r="AD265" i="332"/>
  <c r="AE265" i="332" s="1"/>
  <c r="C265" i="332" l="1"/>
  <c r="D265" i="332"/>
  <c r="AA264" i="332" l="1"/>
  <c r="AB264" i="332" s="1"/>
  <c r="AD264" i="332"/>
  <c r="AE264" i="332" s="1"/>
  <c r="C264" i="332" l="1"/>
  <c r="D264" i="332"/>
  <c r="AA263" i="332" l="1"/>
  <c r="AB263" i="332" s="1"/>
  <c r="AD263" i="332"/>
  <c r="AE263" i="332" s="1"/>
  <c r="C263" i="332" l="1"/>
  <c r="D263" i="332"/>
  <c r="AA262" i="332" l="1"/>
  <c r="AB262" i="332" s="1"/>
  <c r="AD262" i="332"/>
  <c r="AE262" i="332" s="1"/>
  <c r="C262" i="332" l="1"/>
  <c r="D262" i="332"/>
  <c r="AA261" i="332" l="1"/>
  <c r="AB261" i="332" s="1"/>
  <c r="AD261" i="332"/>
  <c r="AE261" i="332" s="1"/>
  <c r="D261" i="332" l="1"/>
  <c r="C261" i="332"/>
  <c r="AA260" i="332" l="1"/>
  <c r="AB260" i="332" s="1"/>
  <c r="AD260" i="332"/>
  <c r="AE260" i="332" s="1"/>
  <c r="Y276" i="332" l="1"/>
  <c r="D260" i="332"/>
  <c r="C260" i="332"/>
  <c r="X276" i="332"/>
  <c r="W276" i="332"/>
  <c r="V276" i="332"/>
  <c r="U276" i="332" l="1"/>
  <c r="R276" i="332"/>
  <c r="Q276" i="332"/>
  <c r="P276" i="332"/>
  <c r="O276" i="332"/>
  <c r="N276" i="332"/>
  <c r="H276" i="332"/>
  <c r="I276" i="332"/>
  <c r="J276" i="332"/>
  <c r="K276" i="332"/>
  <c r="AA276" i="332" s="1"/>
  <c r="AB276" i="332" s="1"/>
  <c r="C276" i="332" s="1"/>
  <c r="AA259" i="332"/>
  <c r="AB259" i="332" s="1"/>
  <c r="L276" i="332"/>
  <c r="AD276" i="332" s="1"/>
  <c r="AE276" i="332" s="1"/>
  <c r="D276" i="332" s="1"/>
  <c r="AD259" i="332"/>
  <c r="AE259" i="332" s="1"/>
  <c r="M276" i="332"/>
  <c r="D259" i="332" l="1"/>
  <c r="C259" i="332"/>
  <c r="AA258" i="332" l="1"/>
  <c r="AB258" i="332" s="1"/>
  <c r="AD258" i="332"/>
  <c r="AE258" i="332" s="1"/>
  <c r="C258" i="332" l="1"/>
  <c r="D258" i="332"/>
  <c r="AA257" i="332" l="1"/>
  <c r="AB257" i="332" s="1"/>
  <c r="AD257" i="332"/>
  <c r="AE257" i="332" s="1"/>
  <c r="C257" i="332" l="1"/>
  <c r="D257" i="332"/>
  <c r="AA256" i="332" l="1"/>
  <c r="AB256" i="332" s="1"/>
  <c r="AD256" i="332"/>
  <c r="AE256" i="332" s="1"/>
  <c r="C256" i="332" l="1"/>
  <c r="D256" i="332"/>
  <c r="AA255" i="332" l="1"/>
  <c r="AB255" i="332" s="1"/>
  <c r="AD255" i="332"/>
  <c r="AE255" i="332" s="1"/>
  <c r="C255" i="332" l="1"/>
  <c r="D255" i="332"/>
  <c r="AA254" i="332" l="1"/>
  <c r="AB254" i="332" s="1"/>
  <c r="AD254" i="332"/>
  <c r="AE254" i="332" s="1"/>
  <c r="C254" i="332" l="1"/>
  <c r="D254" i="332"/>
  <c r="AA253" i="332" l="1"/>
  <c r="AB253" i="332" s="1"/>
  <c r="AD253" i="332"/>
  <c r="AE253" i="332" s="1"/>
  <c r="C253" i="332" l="1"/>
  <c r="D253" i="332"/>
  <c r="AA252" i="332" l="1"/>
  <c r="AB252" i="332" s="1"/>
  <c r="AD252" i="332"/>
  <c r="AE252" i="332" s="1"/>
  <c r="C252" i="332" l="1"/>
  <c r="D252" i="332"/>
  <c r="AA251" i="332" l="1"/>
  <c r="AB251" i="332" s="1"/>
  <c r="AD251" i="332"/>
  <c r="AE251" i="332" s="1"/>
  <c r="C251" i="332" l="1"/>
  <c r="D251" i="332"/>
  <c r="AA250" i="332" l="1"/>
  <c r="AB250" i="332" s="1"/>
  <c r="AD250" i="332"/>
  <c r="AE250" i="332" s="1"/>
  <c r="C250" i="332" l="1"/>
  <c r="Y279" i="332"/>
  <c r="D250" i="332"/>
  <c r="X279" i="332"/>
  <c r="W279" i="332"/>
  <c r="V279" i="332"/>
  <c r="U279" i="332" l="1"/>
  <c r="R279" i="332"/>
  <c r="Q279" i="332"/>
  <c r="P279" i="332"/>
  <c r="O279" i="332"/>
  <c r="N279" i="332"/>
  <c r="H279" i="332"/>
  <c r="I279" i="332"/>
  <c r="J279" i="332"/>
  <c r="K279" i="332"/>
  <c r="AA249" i="332"/>
  <c r="AB249" i="332" s="1"/>
  <c r="L279" i="332"/>
  <c r="AD249" i="332"/>
  <c r="AE249" i="332" s="1"/>
  <c r="M279" i="332"/>
  <c r="C249" i="332" l="1"/>
  <c r="AA279" i="332"/>
  <c r="AD279" i="332"/>
  <c r="D249" i="332"/>
  <c r="AA245" i="332" l="1"/>
  <c r="AB245" i="332" s="1"/>
  <c r="AD245" i="332"/>
  <c r="AE245" i="332" s="1"/>
  <c r="AE279" i="332"/>
  <c r="D279" i="332" s="1"/>
  <c r="AB279" i="332"/>
  <c r="C279" i="332" s="1"/>
  <c r="C245" i="332" l="1"/>
  <c r="D245" i="332"/>
  <c r="AA244" i="332" l="1"/>
  <c r="AB244" i="332" s="1"/>
  <c r="AD244" i="332"/>
  <c r="AE244" i="332" s="1"/>
  <c r="C244" i="332" l="1"/>
  <c r="D244" i="332"/>
  <c r="AA243" i="332" l="1"/>
  <c r="AB243" i="332" s="1"/>
  <c r="AD243" i="332"/>
  <c r="AE243" i="332" s="1"/>
  <c r="D243" i="332" l="1"/>
  <c r="C243" i="332"/>
  <c r="AA242" i="332" l="1"/>
  <c r="AB242" i="332" s="1"/>
  <c r="AD242" i="332"/>
  <c r="AE242" i="332" s="1"/>
  <c r="C242" i="332" l="1"/>
  <c r="D242" i="332"/>
  <c r="AA241" i="332" l="1"/>
  <c r="AB241" i="332" s="1"/>
  <c r="AD241" i="332"/>
  <c r="AE241" i="332" s="1"/>
  <c r="C241" i="332" l="1"/>
  <c r="D241" i="332"/>
  <c r="AA240" i="332" l="1"/>
  <c r="AB240" i="332" s="1"/>
  <c r="AD240" i="332"/>
  <c r="AE240" i="332" s="1"/>
  <c r="C240" i="332" l="1"/>
  <c r="D240" i="332"/>
  <c r="AA239" i="332" l="1"/>
  <c r="AB239" i="332" s="1"/>
  <c r="AD239" i="332"/>
  <c r="AE239" i="332" s="1"/>
  <c r="C239" i="332" l="1"/>
  <c r="D239" i="332"/>
  <c r="AA238" i="332" l="1"/>
  <c r="AB238" i="332" s="1"/>
  <c r="AD238" i="332"/>
  <c r="AE238" i="332" s="1"/>
  <c r="C238" i="332" l="1"/>
  <c r="Y246" i="332"/>
  <c r="D238" i="332"/>
  <c r="X246" i="332"/>
  <c r="W246" i="332"/>
  <c r="V246" i="332"/>
  <c r="U246" i="332" l="1"/>
  <c r="R246" i="332"/>
  <c r="Q246" i="332"/>
  <c r="P246" i="332"/>
  <c r="O246" i="332"/>
  <c r="N246" i="332"/>
  <c r="H246" i="332"/>
  <c r="I246" i="332"/>
  <c r="J246" i="332"/>
  <c r="K246" i="332"/>
  <c r="AA237" i="332"/>
  <c r="AB237" i="332" s="1"/>
  <c r="L246" i="332"/>
  <c r="AD237" i="332"/>
  <c r="AE237" i="332" s="1"/>
  <c r="M246" i="332"/>
  <c r="X236" i="332"/>
  <c r="W236" i="332"/>
  <c r="V236" i="332"/>
  <c r="U236" i="332"/>
  <c r="R236" i="332"/>
  <c r="Q236" i="332"/>
  <c r="P236" i="332"/>
  <c r="O236" i="332"/>
  <c r="N236" i="332"/>
  <c r="M236" i="332"/>
  <c r="L236" i="332"/>
  <c r="AD236" i="332" s="1"/>
  <c r="K236" i="332"/>
  <c r="AA236" i="332" s="1"/>
  <c r="J236" i="332"/>
  <c r="H236" i="332"/>
  <c r="C237" i="332" l="1"/>
  <c r="AD246" i="332"/>
  <c r="D237" i="332"/>
  <c r="AA246" i="332"/>
  <c r="AA231" i="332" l="1"/>
  <c r="AB231" i="332" s="1"/>
  <c r="AD231" i="332"/>
  <c r="AE231" i="332" s="1"/>
  <c r="D246" i="332"/>
  <c r="AE246" i="332"/>
  <c r="AB246" i="332"/>
  <c r="C246" i="332" s="1"/>
  <c r="C231" i="332" l="1"/>
  <c r="D231" i="332"/>
  <c r="AA230" i="332" l="1"/>
  <c r="AB230" i="332" s="1"/>
  <c r="AD230" i="332"/>
  <c r="AE230" i="332" s="1"/>
  <c r="C230" i="332" l="1"/>
  <c r="D230" i="332"/>
  <c r="AA229" i="332" l="1"/>
  <c r="AB229" i="332" s="1"/>
  <c r="AD229" i="332"/>
  <c r="AE229" i="332" s="1"/>
  <c r="C229" i="332" l="1"/>
  <c r="D229" i="332"/>
  <c r="AA228" i="332" l="1"/>
  <c r="AB228" i="332" s="1"/>
  <c r="AD228" i="332"/>
  <c r="AE228" i="332" s="1"/>
  <c r="D228" i="332" l="1"/>
  <c r="C228" i="332"/>
  <c r="AA227" i="332" l="1"/>
  <c r="AB227" i="332" s="1"/>
  <c r="AD227" i="332"/>
  <c r="AE227" i="332" s="1"/>
  <c r="C227" i="332" l="1"/>
  <c r="D227" i="332"/>
  <c r="AA226" i="332" l="1"/>
  <c r="AB226" i="332" s="1"/>
  <c r="AD226" i="332"/>
  <c r="AE226" i="332" s="1"/>
  <c r="C226" i="332" l="1"/>
  <c r="D226" i="332"/>
  <c r="AA225" i="332" l="1"/>
  <c r="AB225" i="332" s="1"/>
  <c r="AD225" i="332"/>
  <c r="AE225" i="332" s="1"/>
  <c r="C225" i="332" l="1"/>
  <c r="Y232" i="332"/>
  <c r="D225" i="332"/>
  <c r="X232" i="332"/>
  <c r="W232" i="332"/>
  <c r="V232" i="332"/>
  <c r="U232" i="332" l="1"/>
  <c r="R232" i="332"/>
  <c r="Q232" i="332"/>
  <c r="P232" i="332"/>
  <c r="O232" i="332"/>
  <c r="N232" i="332"/>
  <c r="H232" i="332"/>
  <c r="I232" i="332"/>
  <c r="J232" i="332"/>
  <c r="K232" i="332"/>
  <c r="AA232" i="332" s="1"/>
  <c r="AA224" i="332"/>
  <c r="AB224" i="332" s="1"/>
  <c r="L232" i="332"/>
  <c r="AD232" i="332" s="1"/>
  <c r="AE232" i="332" s="1"/>
  <c r="D232" i="332" s="1"/>
  <c r="AD224" i="332"/>
  <c r="AE224" i="332" s="1"/>
  <c r="M232" i="332"/>
  <c r="AB232" i="332" l="1"/>
  <c r="C232" i="332" s="1"/>
  <c r="D224" i="332"/>
  <c r="C224" i="332"/>
  <c r="AA221" i="332" l="1"/>
  <c r="AB221" i="332" s="1"/>
  <c r="AD221" i="332"/>
  <c r="AE221" i="332" s="1"/>
  <c r="C221" i="332" l="1"/>
  <c r="D221" i="332"/>
  <c r="AA220" i="332" l="1"/>
  <c r="AB220" i="332" s="1"/>
  <c r="AD220" i="332"/>
  <c r="AE220" i="332" s="1"/>
  <c r="C220" i="332" l="1"/>
  <c r="Y222" i="332"/>
  <c r="D220" i="332"/>
  <c r="X222" i="332"/>
  <c r="W222" i="332"/>
  <c r="V222" i="332"/>
  <c r="U222" i="332" l="1"/>
  <c r="R222" i="332"/>
  <c r="Q222" i="332"/>
  <c r="P222" i="332"/>
  <c r="O222" i="332"/>
  <c r="N222" i="332"/>
  <c r="H222" i="332"/>
  <c r="I222" i="332"/>
  <c r="J222" i="332"/>
  <c r="K222" i="332"/>
  <c r="AA222" i="332" s="1"/>
  <c r="AB222" i="332" s="1"/>
  <c r="C222" i="332" s="1"/>
  <c r="AA219" i="332"/>
  <c r="AB219" i="332" s="1"/>
  <c r="L222" i="332"/>
  <c r="AD222" i="332" s="1"/>
  <c r="AE222" i="332" s="1"/>
  <c r="D222" i="332" s="1"/>
  <c r="AD219" i="332"/>
  <c r="AE219" i="332" s="1"/>
  <c r="M222" i="332"/>
  <c r="D219" i="332" l="1"/>
  <c r="C219" i="332"/>
  <c r="AA218" i="332" l="1"/>
  <c r="AB218" i="332" s="1"/>
  <c r="AD218" i="332"/>
  <c r="AE218" i="332" s="1"/>
  <c r="C218" i="332" l="1"/>
  <c r="D218" i="332"/>
  <c r="AA216" i="332" l="1"/>
  <c r="AB216" i="332" s="1"/>
  <c r="AD216" i="332"/>
  <c r="AE216" i="332" s="1"/>
  <c r="C216" i="332" l="1"/>
  <c r="D216" i="332"/>
  <c r="AA215" i="332" l="1"/>
  <c r="AB215" i="332" s="1"/>
  <c r="AD215" i="332"/>
  <c r="AE215" i="332" s="1"/>
  <c r="C215" i="332" l="1"/>
  <c r="Y217" i="332"/>
  <c r="Y233" i="332" s="1"/>
  <c r="D215" i="332"/>
  <c r="X217" i="332"/>
  <c r="X233" i="332" s="1"/>
  <c r="W217" i="332"/>
  <c r="W233" i="332" s="1"/>
  <c r="V217" i="332"/>
  <c r="V233" i="332" s="1"/>
  <c r="U217" i="332" l="1"/>
  <c r="U233" i="332" s="1"/>
  <c r="R217" i="332"/>
  <c r="R233" i="332" s="1"/>
  <c r="Q217" i="332"/>
  <c r="Q233" i="332" s="1"/>
  <c r="P217" i="332"/>
  <c r="P233" i="332" s="1"/>
  <c r="O217" i="332"/>
  <c r="O233" i="332" s="1"/>
  <c r="N217" i="332"/>
  <c r="N233" i="332" s="1"/>
  <c r="H217" i="332"/>
  <c r="H233" i="332" s="1"/>
  <c r="I217" i="332"/>
  <c r="I233" i="332" s="1"/>
  <c r="J217" i="332"/>
  <c r="J233" i="332" s="1"/>
  <c r="K217" i="332"/>
  <c r="AA214" i="332"/>
  <c r="AB214" i="332" s="1"/>
  <c r="L217" i="332"/>
  <c r="AD214" i="332"/>
  <c r="AE214" i="332" s="1"/>
  <c r="M217" i="332"/>
  <c r="M233" i="332" s="1"/>
  <c r="AD217" i="332" l="1"/>
  <c r="AE217" i="332" s="1"/>
  <c r="D217" i="332" s="1"/>
  <c r="L233" i="332"/>
  <c r="AA217" i="332"/>
  <c r="AB217" i="332" s="1"/>
  <c r="K233" i="332"/>
  <c r="D214" i="332"/>
  <c r="C214" i="332"/>
  <c r="C217" i="332" l="1"/>
  <c r="AA213" i="332"/>
  <c r="AB213" i="332" s="1"/>
  <c r="AD213" i="332"/>
  <c r="AE213" i="332" s="1"/>
  <c r="D213" i="332" l="1"/>
  <c r="C213" i="332"/>
  <c r="AA212" i="332" l="1"/>
  <c r="AB212" i="332" s="1"/>
  <c r="AD212" i="332"/>
  <c r="AE212" i="332" s="1"/>
  <c r="X211" i="332"/>
  <c r="W211" i="332"/>
  <c r="V211" i="332"/>
  <c r="C212" i="332" l="1"/>
  <c r="Y211" i="332"/>
  <c r="AA233" i="332"/>
  <c r="AD233" i="332"/>
  <c r="D212" i="332"/>
  <c r="U211" i="332" l="1"/>
  <c r="R211" i="332"/>
  <c r="Q211" i="332"/>
  <c r="P211" i="332"/>
  <c r="O211" i="332"/>
  <c r="N211" i="332"/>
  <c r="H211" i="332"/>
  <c r="J211" i="332"/>
  <c r="AA210" i="332"/>
  <c r="AB210" i="332" s="1"/>
  <c r="K211" i="332"/>
  <c r="AA211" i="332" s="1"/>
  <c r="AB211" i="332" s="1"/>
  <c r="L211" i="332"/>
  <c r="AD211" i="332" s="1"/>
  <c r="AE211" i="332" s="1"/>
  <c r="AD210" i="332"/>
  <c r="AE210" i="332" s="1"/>
  <c r="M211" i="332"/>
  <c r="AB233" i="332"/>
  <c r="C233" i="332" s="1"/>
  <c r="AE233" i="332"/>
  <c r="D233" i="332" s="1"/>
  <c r="AA206" i="332" l="1"/>
  <c r="AB206" i="332" s="1"/>
  <c r="AD206" i="332"/>
  <c r="AE206" i="332" s="1"/>
  <c r="X205" i="332"/>
  <c r="W205" i="332"/>
  <c r="V205" i="332"/>
  <c r="U205" i="332"/>
  <c r="R205" i="332"/>
  <c r="Q205" i="332"/>
  <c r="P205" i="332"/>
  <c r="O205" i="332"/>
  <c r="N205" i="332"/>
  <c r="M205" i="332"/>
  <c r="L205" i="332"/>
  <c r="AD205" i="332" s="1"/>
  <c r="K205" i="332"/>
  <c r="AA205" i="332" s="1"/>
  <c r="J205" i="332"/>
  <c r="H205" i="332"/>
  <c r="C206" i="332" l="1"/>
  <c r="D206" i="332"/>
  <c r="AA204" i="332" l="1"/>
  <c r="AB204" i="332" s="1"/>
  <c r="AD204" i="332"/>
  <c r="AE204" i="332" s="1"/>
  <c r="D204" i="332" l="1"/>
  <c r="C204" i="332"/>
  <c r="AA202" i="332" l="1"/>
  <c r="AB202" i="332" s="1"/>
  <c r="AD202" i="332"/>
  <c r="AE202" i="332" s="1"/>
  <c r="C202" i="332" l="1"/>
  <c r="D202" i="332"/>
  <c r="AA201" i="332" l="1"/>
  <c r="AB201" i="332" s="1"/>
  <c r="AD201" i="332"/>
  <c r="AE201" i="332" s="1"/>
  <c r="C201" i="332" l="1"/>
  <c r="D201" i="332"/>
  <c r="AA200" i="332" l="1"/>
  <c r="AB200" i="332" s="1"/>
  <c r="AD200" i="332"/>
  <c r="AE200" i="332" s="1"/>
  <c r="C200" i="332" l="1"/>
  <c r="D200" i="332"/>
  <c r="X285" i="332" l="1"/>
  <c r="W285" i="332"/>
  <c r="V285" i="332"/>
  <c r="K207" i="332"/>
  <c r="AA199" i="332"/>
  <c r="AB199" i="332" s="1"/>
  <c r="L207" i="332"/>
  <c r="AD199" i="332"/>
  <c r="AE199" i="332" s="1"/>
  <c r="Y285" i="332"/>
  <c r="C199" i="332" l="1"/>
  <c r="J285" i="332"/>
  <c r="M285" i="332"/>
  <c r="K285" i="332"/>
  <c r="AA207" i="332"/>
  <c r="R285" i="332"/>
  <c r="L285" i="332"/>
  <c r="AD207" i="332"/>
  <c r="I285" i="332"/>
  <c r="P285" i="332"/>
  <c r="U285" i="332"/>
  <c r="D199" i="332"/>
  <c r="O285" i="332"/>
  <c r="N285" i="332"/>
  <c r="H285" i="332"/>
  <c r="Q285" i="332"/>
  <c r="AD285" i="332" l="1"/>
  <c r="AB207" i="332"/>
  <c r="C207" i="332" s="1"/>
  <c r="AE207" i="332"/>
  <c r="D207" i="332" s="1"/>
  <c r="AA285" i="332"/>
  <c r="Y197" i="332" l="1"/>
  <c r="Y198" i="332" s="1"/>
  <c r="AB285" i="332"/>
  <c r="C285" i="332" s="1"/>
  <c r="AE285" i="332"/>
  <c r="D285" i="332" s="1"/>
  <c r="K197" i="332" l="1"/>
  <c r="AA197" i="332" s="1"/>
  <c r="AB197" i="332" s="1"/>
  <c r="AA196" i="332"/>
  <c r="AB196" i="332" s="1"/>
  <c r="L197" i="332"/>
  <c r="AD197" i="332" s="1"/>
  <c r="AE197" i="332" s="1"/>
  <c r="AD196" i="332"/>
  <c r="AE196" i="332" s="1"/>
  <c r="U197" i="332"/>
  <c r="U198" i="332" s="1"/>
  <c r="R197" i="332"/>
  <c r="R198" i="332" s="1"/>
  <c r="Q197" i="332"/>
  <c r="Q198" i="332" s="1"/>
  <c r="P197" i="332"/>
  <c r="P198" i="332" s="1"/>
  <c r="O197" i="332"/>
  <c r="O198" i="332" s="1"/>
  <c r="N197" i="332"/>
  <c r="N198" i="332" s="1"/>
  <c r="H197" i="332"/>
  <c r="H198" i="332" s="1"/>
  <c r="J197" i="332"/>
  <c r="J198" i="332" s="1"/>
  <c r="AA195" i="332"/>
  <c r="AD195" i="332"/>
  <c r="M197" i="332"/>
  <c r="M198" i="332" s="1"/>
  <c r="X197" i="332"/>
  <c r="X198" i="332" s="1"/>
  <c r="W197" i="332"/>
  <c r="W198" i="332" s="1"/>
  <c r="V197" i="332"/>
  <c r="V198" i="332" s="1"/>
  <c r="L198" i="332" l="1"/>
  <c r="K198" i="332"/>
  <c r="AA198" i="332"/>
  <c r="AB195" i="332"/>
  <c r="AD198" i="332"/>
  <c r="AE195" i="332"/>
  <c r="X367" i="332"/>
  <c r="W367" i="332"/>
  <c r="V367" i="332"/>
  <c r="AA194" i="332" l="1"/>
  <c r="AD194" i="332"/>
  <c r="AE194" i="332" l="1"/>
  <c r="AB194" i="332"/>
  <c r="AA193" i="332" l="1"/>
  <c r="AB193" i="332" s="1"/>
  <c r="AD193" i="332"/>
  <c r="AE193" i="332" s="1"/>
  <c r="AA192" i="332" l="1"/>
  <c r="AB192" i="332" s="1"/>
  <c r="AD192" i="332"/>
  <c r="AE192" i="332" s="1"/>
  <c r="AA181" i="332" l="1"/>
  <c r="AB181" i="332" s="1"/>
  <c r="AD181" i="332"/>
  <c r="AE181" i="332" s="1"/>
  <c r="C181" i="332" l="1"/>
  <c r="D181" i="332"/>
  <c r="AA180" i="332" l="1"/>
  <c r="AB180" i="332" s="1"/>
  <c r="AD180" i="332"/>
  <c r="AE180" i="332" s="1"/>
  <c r="C180" i="332" l="1"/>
  <c r="D180" i="332"/>
  <c r="AA179" i="332" l="1"/>
  <c r="AB179" i="332" s="1"/>
  <c r="AD179" i="332"/>
  <c r="AE179" i="332" s="1"/>
  <c r="C179" i="332" l="1"/>
  <c r="D179" i="332"/>
  <c r="AA178" i="332" l="1"/>
  <c r="AB178" i="332" s="1"/>
  <c r="AD178" i="332"/>
  <c r="AE178" i="332" s="1"/>
  <c r="C178" i="332" l="1"/>
  <c r="D178" i="332"/>
  <c r="AA177" i="332" l="1"/>
  <c r="AB177" i="332" s="1"/>
  <c r="AD177" i="332"/>
  <c r="AE177" i="332" s="1"/>
  <c r="C177" i="332" l="1"/>
  <c r="D177" i="332"/>
  <c r="AA176" i="332" l="1"/>
  <c r="AB176" i="332" s="1"/>
  <c r="AD176" i="332"/>
  <c r="AE176" i="332" s="1"/>
  <c r="C176" i="332" l="1"/>
  <c r="D176" i="332"/>
  <c r="AA175" i="332" l="1"/>
  <c r="AB175" i="332" s="1"/>
  <c r="AD175" i="332"/>
  <c r="AE175" i="332" s="1"/>
  <c r="C175" i="332" l="1"/>
  <c r="D175" i="332"/>
  <c r="AA174" i="332" l="1"/>
  <c r="AB174" i="332" s="1"/>
  <c r="AD174" i="332"/>
  <c r="AE174" i="332" s="1"/>
  <c r="C174" i="332" l="1"/>
  <c r="D174" i="332"/>
  <c r="AA173" i="332" l="1"/>
  <c r="AB173" i="332" s="1"/>
  <c r="AD173" i="332"/>
  <c r="AE173" i="332" s="1"/>
  <c r="C173" i="332" l="1"/>
  <c r="D173" i="332"/>
  <c r="AA172" i="332" l="1"/>
  <c r="AB172" i="332" s="1"/>
  <c r="AD172" i="332"/>
  <c r="AE172" i="332" s="1"/>
  <c r="C172" i="332" l="1"/>
  <c r="D172" i="332"/>
  <c r="AA171" i="332" l="1"/>
  <c r="AB171" i="332" s="1"/>
  <c r="AD171" i="332"/>
  <c r="AE171" i="332" s="1"/>
  <c r="C171" i="332" l="1"/>
  <c r="D171" i="332"/>
  <c r="AA170" i="332" l="1"/>
  <c r="AB170" i="332" s="1"/>
  <c r="AD170" i="332"/>
  <c r="AE170" i="332" s="1"/>
  <c r="C170" i="332" l="1"/>
  <c r="D170" i="332"/>
  <c r="AA169" i="332" l="1"/>
  <c r="AB169" i="332" s="1"/>
  <c r="AD169" i="332"/>
  <c r="AE169" i="332" s="1"/>
  <c r="C169" i="332" l="1"/>
  <c r="D169" i="332"/>
  <c r="AA168" i="332" l="1"/>
  <c r="AB168" i="332" s="1"/>
  <c r="AD168" i="332"/>
  <c r="AE168" i="332" s="1"/>
  <c r="C168" i="332" l="1"/>
  <c r="D168" i="332"/>
  <c r="AA167" i="332" l="1"/>
  <c r="AB167" i="332" s="1"/>
  <c r="AD167" i="332"/>
  <c r="AE167" i="332" s="1"/>
  <c r="C167" i="332" l="1"/>
  <c r="D167" i="332"/>
  <c r="AA166" i="332" l="1"/>
  <c r="AB166" i="332" s="1"/>
  <c r="AD166" i="332"/>
  <c r="AE166" i="332" s="1"/>
  <c r="D166" i="332" l="1"/>
  <c r="C166" i="332"/>
  <c r="AA165" i="332" l="1"/>
  <c r="AB165" i="332" s="1"/>
  <c r="AD165" i="332"/>
  <c r="AE165" i="332" s="1"/>
  <c r="C165" i="332" l="1"/>
  <c r="D165" i="332"/>
  <c r="AA164" i="332" l="1"/>
  <c r="AB164" i="332" s="1"/>
  <c r="AD164" i="332"/>
  <c r="AE164" i="332" s="1"/>
  <c r="C164" i="332" l="1"/>
  <c r="D164" i="332"/>
  <c r="AA163" i="332" l="1"/>
  <c r="AB163" i="332" s="1"/>
  <c r="AD163" i="332"/>
  <c r="AE163" i="332" s="1"/>
  <c r="C163" i="332" l="1"/>
  <c r="D163" i="332"/>
  <c r="AA162" i="332" l="1"/>
  <c r="AB162" i="332" s="1"/>
  <c r="AD162" i="332"/>
  <c r="AE162" i="332" s="1"/>
  <c r="C162" i="332" l="1"/>
  <c r="Y182" i="332"/>
  <c r="D162" i="332"/>
  <c r="X182" i="332"/>
  <c r="W182" i="332"/>
  <c r="V182" i="332"/>
  <c r="U182" i="332" l="1"/>
  <c r="R182" i="332"/>
  <c r="Q182" i="332"/>
  <c r="P182" i="332"/>
  <c r="O182" i="332"/>
  <c r="N182" i="332"/>
  <c r="H182" i="332"/>
  <c r="I182" i="332"/>
  <c r="J182" i="332"/>
  <c r="K182" i="332"/>
  <c r="AA182" i="332" s="1"/>
  <c r="AB182" i="332" s="1"/>
  <c r="C182" i="332" s="1"/>
  <c r="AA161" i="332"/>
  <c r="AB161" i="332" s="1"/>
  <c r="L182" i="332"/>
  <c r="AD182" i="332" s="1"/>
  <c r="AD161" i="332"/>
  <c r="AE161" i="332" s="1"/>
  <c r="M182" i="332"/>
  <c r="AE182" i="332" l="1"/>
  <c r="D182" i="332" s="1"/>
  <c r="D161" i="332"/>
  <c r="C161" i="332"/>
  <c r="AA160" i="332" l="1"/>
  <c r="AB160" i="332" s="1"/>
  <c r="AD160" i="332"/>
  <c r="AE160" i="332" s="1"/>
  <c r="C160" i="332" l="1"/>
  <c r="D160" i="332"/>
  <c r="AA159" i="332" l="1"/>
  <c r="AB159" i="332" s="1"/>
  <c r="AD159" i="332"/>
  <c r="AE159" i="332" s="1"/>
  <c r="C159" i="332" l="1"/>
  <c r="D159" i="332"/>
  <c r="AA158" i="332" l="1"/>
  <c r="AB158" i="332" s="1"/>
  <c r="AD158" i="332"/>
  <c r="AE158" i="332" s="1"/>
  <c r="C158" i="332" l="1"/>
  <c r="D158" i="332"/>
  <c r="AA157" i="332" l="1"/>
  <c r="AB157" i="332" s="1"/>
  <c r="AD157" i="332"/>
  <c r="AE157" i="332" s="1"/>
  <c r="C157" i="332" l="1"/>
  <c r="D157" i="332"/>
  <c r="AA156" i="332" l="1"/>
  <c r="AB156" i="332" s="1"/>
  <c r="AD156" i="332"/>
  <c r="AE156" i="332" s="1"/>
  <c r="Y183" i="332" l="1"/>
  <c r="D156" i="332"/>
  <c r="C156" i="332"/>
  <c r="X183" i="332"/>
  <c r="W183" i="332"/>
  <c r="V183" i="332"/>
  <c r="U183" i="332" l="1"/>
  <c r="R183" i="332"/>
  <c r="Q183" i="332"/>
  <c r="P183" i="332"/>
  <c r="O183" i="332"/>
  <c r="N183" i="332"/>
  <c r="H183" i="332"/>
  <c r="I183" i="332"/>
  <c r="J183" i="332"/>
  <c r="K183" i="332"/>
  <c r="AA155" i="332"/>
  <c r="AB155" i="332" s="1"/>
  <c r="L183" i="332"/>
  <c r="AD155" i="332"/>
  <c r="AE155" i="332" s="1"/>
  <c r="M183" i="332"/>
  <c r="C155" i="332" l="1"/>
  <c r="AA183" i="332"/>
  <c r="AD183" i="332"/>
  <c r="D155" i="332"/>
  <c r="AA150" i="332" l="1"/>
  <c r="AB150" i="332" s="1"/>
  <c r="AD150" i="332"/>
  <c r="AE150" i="332" s="1"/>
  <c r="AE183" i="332"/>
  <c r="D183" i="332" s="1"/>
  <c r="AB183" i="332"/>
  <c r="C183" i="332" s="1"/>
  <c r="C150" i="332" l="1"/>
  <c r="D150" i="332"/>
  <c r="AA149" i="332" l="1"/>
  <c r="AB149" i="332" s="1"/>
  <c r="AD149" i="332"/>
  <c r="AE149" i="332" s="1"/>
  <c r="D149" i="332" l="1"/>
  <c r="C149" i="332"/>
  <c r="AA148" i="332" l="1"/>
  <c r="AB148" i="332" s="1"/>
  <c r="AD148" i="332"/>
  <c r="AE148" i="332" s="1"/>
  <c r="C148" i="332" l="1"/>
  <c r="D148" i="332"/>
  <c r="AA147" i="332" l="1"/>
  <c r="AB147" i="332" s="1"/>
  <c r="AD147" i="332"/>
  <c r="AE147" i="332" s="1"/>
  <c r="C147" i="332" l="1"/>
  <c r="Y151" i="332"/>
  <c r="D147" i="332"/>
  <c r="X151" i="332"/>
  <c r="W151" i="332"/>
  <c r="V151" i="332"/>
  <c r="U151" i="332" l="1"/>
  <c r="R151" i="332"/>
  <c r="Q151" i="332"/>
  <c r="P151" i="332"/>
  <c r="O151" i="332"/>
  <c r="N151" i="332"/>
  <c r="H151" i="332"/>
  <c r="I151" i="332"/>
  <c r="J151" i="332"/>
  <c r="K151" i="332"/>
  <c r="AA151" i="332" s="1"/>
  <c r="C151" i="332" s="1"/>
  <c r="AA146" i="332"/>
  <c r="AB146" i="332" s="1"/>
  <c r="L151" i="332"/>
  <c r="AD151" i="332" s="1"/>
  <c r="AE151" i="332" s="1"/>
  <c r="AD146" i="332"/>
  <c r="AE146" i="332" s="1"/>
  <c r="M151" i="332"/>
  <c r="D151" i="332" l="1"/>
  <c r="AB151" i="332"/>
  <c r="D146" i="332"/>
  <c r="C146" i="332"/>
  <c r="AA145" i="332" l="1"/>
  <c r="AB145" i="332" s="1"/>
  <c r="AD145" i="332"/>
  <c r="AE145" i="332" s="1"/>
  <c r="C145" i="332" l="1"/>
  <c r="D145" i="332"/>
  <c r="AA144" i="332" l="1"/>
  <c r="AB144" i="332" s="1"/>
  <c r="AD144" i="332"/>
  <c r="AE144" i="332" s="1"/>
  <c r="C144" i="332" l="1"/>
  <c r="D144" i="332"/>
  <c r="AA143" i="332" l="1"/>
  <c r="AB143" i="332" s="1"/>
  <c r="AD143" i="332"/>
  <c r="AE143" i="332" s="1"/>
  <c r="C143" i="332" l="1"/>
  <c r="D143" i="332"/>
  <c r="AA142" i="332" l="1"/>
  <c r="AB142" i="332" s="1"/>
  <c r="AD142" i="332"/>
  <c r="AE142" i="332" s="1"/>
  <c r="C142" i="332" l="1"/>
  <c r="Y152" i="332"/>
  <c r="D142" i="332"/>
  <c r="X152" i="332"/>
  <c r="W152" i="332"/>
  <c r="V152" i="332"/>
  <c r="U152" i="332" l="1"/>
  <c r="R152" i="332"/>
  <c r="Q152" i="332"/>
  <c r="P152" i="332"/>
  <c r="O152" i="332"/>
  <c r="N152" i="332"/>
  <c r="H152" i="332"/>
  <c r="I152" i="332"/>
  <c r="J152" i="332"/>
  <c r="K152" i="332"/>
  <c r="AA141" i="332"/>
  <c r="AB141" i="332" s="1"/>
  <c r="L152" i="332"/>
  <c r="AD141" i="332"/>
  <c r="AE141" i="332" s="1"/>
  <c r="M152" i="332"/>
  <c r="X140" i="332"/>
  <c r="W140" i="332"/>
  <c r="V140" i="332"/>
  <c r="U140" i="332"/>
  <c r="R140" i="332"/>
  <c r="Q140" i="332"/>
  <c r="P140" i="332"/>
  <c r="O140" i="332"/>
  <c r="N140" i="332"/>
  <c r="M140" i="332"/>
  <c r="L140" i="332"/>
  <c r="AD140" i="332" s="1"/>
  <c r="K140" i="332"/>
  <c r="AA140" i="332" s="1"/>
  <c r="J140" i="332"/>
  <c r="H140" i="332"/>
  <c r="C141" i="332" l="1"/>
  <c r="AD152" i="332"/>
  <c r="D141" i="332"/>
  <c r="AA152" i="332"/>
  <c r="AA134" i="332" l="1"/>
  <c r="AB134" i="332" s="1"/>
  <c r="AD134" i="332"/>
  <c r="AE134" i="332" s="1"/>
  <c r="AE152" i="332"/>
  <c r="D152" i="332" s="1"/>
  <c r="AB152" i="332"/>
  <c r="C152" i="332" s="1"/>
  <c r="C134" i="332" l="1"/>
  <c r="D134" i="332"/>
  <c r="AA133" i="332" l="1"/>
  <c r="AB133" i="332" s="1"/>
  <c r="AD133" i="332"/>
  <c r="AE133" i="332" s="1"/>
  <c r="C133" i="332" l="1"/>
  <c r="D133" i="332"/>
  <c r="AA132" i="332" l="1"/>
  <c r="AB132" i="332" s="1"/>
  <c r="AD132" i="332"/>
  <c r="AE132" i="332" s="1"/>
  <c r="C132" i="332" l="1"/>
  <c r="D132" i="332"/>
  <c r="AA131" i="332" l="1"/>
  <c r="AB131" i="332" s="1"/>
  <c r="AD131" i="332"/>
  <c r="AE131" i="332" s="1"/>
  <c r="C131" i="332" l="1"/>
  <c r="D131" i="332"/>
  <c r="AA130" i="332" l="1"/>
  <c r="AB130" i="332" s="1"/>
  <c r="AD130" i="332"/>
  <c r="AE130" i="332" s="1"/>
  <c r="C130" i="332" l="1"/>
  <c r="D130" i="332"/>
  <c r="AA129" i="332" l="1"/>
  <c r="AB129" i="332" s="1"/>
  <c r="AD129" i="332"/>
  <c r="AE129" i="332" s="1"/>
  <c r="C129" i="332" l="1"/>
  <c r="D129" i="332"/>
  <c r="AA128" i="332" l="1"/>
  <c r="AB128" i="332" s="1"/>
  <c r="AD128" i="332"/>
  <c r="AE128" i="332" s="1"/>
  <c r="C128" i="332" l="1"/>
  <c r="D128" i="332"/>
  <c r="AA136" i="332" l="1"/>
  <c r="AB136" i="332" s="1"/>
  <c r="C136" i="332" s="1"/>
  <c r="AA117" i="332"/>
  <c r="AB117" i="332" s="1"/>
  <c r="AD136" i="332"/>
  <c r="AE136" i="332" s="1"/>
  <c r="D136" i="332" s="1"/>
  <c r="AD117" i="332"/>
  <c r="AE117" i="332" s="1"/>
  <c r="D117" i="332" l="1"/>
  <c r="C117" i="332"/>
  <c r="AA126" i="332" l="1"/>
  <c r="AB126" i="332" s="1"/>
  <c r="AD126" i="332"/>
  <c r="AE126" i="332" s="1"/>
  <c r="C126" i="332" l="1"/>
  <c r="D126" i="332"/>
  <c r="AA125" i="332" l="1"/>
  <c r="AB125" i="332" s="1"/>
  <c r="AD125" i="332"/>
  <c r="AE125" i="332" s="1"/>
  <c r="C125" i="332" l="1"/>
  <c r="Y127" i="332"/>
  <c r="D125" i="332"/>
  <c r="X127" i="332"/>
  <c r="W127" i="332"/>
  <c r="V127" i="332"/>
  <c r="U127" i="332" l="1"/>
  <c r="R127" i="332"/>
  <c r="Q127" i="332"/>
  <c r="P127" i="332"/>
  <c r="O127" i="332"/>
  <c r="N127" i="332"/>
  <c r="H127" i="332"/>
  <c r="I127" i="332"/>
  <c r="J127" i="332"/>
  <c r="K127" i="332"/>
  <c r="AA127" i="332" s="1"/>
  <c r="AB127" i="332" s="1"/>
  <c r="AA124" i="332"/>
  <c r="AB124" i="332" s="1"/>
  <c r="L127" i="332"/>
  <c r="AD127" i="332" s="1"/>
  <c r="AD124" i="332"/>
  <c r="AE124" i="332" s="1"/>
  <c r="M127" i="332"/>
  <c r="AE127" i="332" l="1"/>
  <c r="D127" i="332" s="1"/>
  <c r="D124" i="332"/>
  <c r="C124" i="332"/>
  <c r="C127" i="332"/>
  <c r="AA123" i="332" l="1"/>
  <c r="AB123" i="332" s="1"/>
  <c r="AD123" i="332"/>
  <c r="AE123" i="332" s="1"/>
  <c r="C123" i="332" l="1"/>
  <c r="D123" i="332"/>
  <c r="AA121" i="332" l="1"/>
  <c r="AB121" i="332" s="1"/>
  <c r="AD121" i="332"/>
  <c r="AE121" i="332" s="1"/>
  <c r="C121" i="332" l="1"/>
  <c r="D121" i="332"/>
  <c r="AA120" i="332" l="1"/>
  <c r="AB120" i="332" s="1"/>
  <c r="C120" i="332" s="1"/>
  <c r="AD120" i="332"/>
  <c r="AE120" i="332" s="1"/>
  <c r="Y122" i="332" l="1"/>
  <c r="Y137" i="332" s="1"/>
  <c r="D120" i="332"/>
  <c r="X122" i="332"/>
  <c r="X137" i="332" s="1"/>
  <c r="W122" i="332"/>
  <c r="W137" i="332" s="1"/>
  <c r="V122" i="332"/>
  <c r="V137" i="332" s="1"/>
  <c r="U122" i="332" l="1"/>
  <c r="U137" i="332" s="1"/>
  <c r="R122" i="332"/>
  <c r="R137" i="332" s="1"/>
  <c r="Q122" i="332"/>
  <c r="Q137" i="332" s="1"/>
  <c r="P122" i="332"/>
  <c r="P137" i="332" s="1"/>
  <c r="O122" i="332"/>
  <c r="O137" i="332" s="1"/>
  <c r="N122" i="332"/>
  <c r="N137" i="332" s="1"/>
  <c r="H122" i="332"/>
  <c r="H137" i="332" s="1"/>
  <c r="I122" i="332"/>
  <c r="I137" i="332" s="1"/>
  <c r="J122" i="332"/>
  <c r="J137" i="332" s="1"/>
  <c r="K122" i="332"/>
  <c r="AA119" i="332"/>
  <c r="AB119" i="332" s="1"/>
  <c r="L122" i="332"/>
  <c r="AD119" i="332"/>
  <c r="AE119" i="332" s="1"/>
  <c r="M122" i="332"/>
  <c r="M137" i="332" s="1"/>
  <c r="AD122" i="332" l="1"/>
  <c r="AE122" i="332" s="1"/>
  <c r="L137" i="332"/>
  <c r="AA122" i="332"/>
  <c r="AB122" i="332" s="1"/>
  <c r="C122" i="332" s="1"/>
  <c r="K137" i="332"/>
  <c r="C119" i="332"/>
  <c r="D119" i="332"/>
  <c r="D122" i="332" l="1"/>
  <c r="AA118" i="332"/>
  <c r="AB118" i="332" s="1"/>
  <c r="AD118" i="332"/>
  <c r="AE118" i="332" s="1"/>
  <c r="D118" i="332" l="1"/>
  <c r="C118" i="332"/>
  <c r="AA116" i="332" l="1"/>
  <c r="AB116" i="332" s="1"/>
  <c r="AD116" i="332"/>
  <c r="AE116" i="332" s="1"/>
  <c r="D116" i="332" l="1"/>
  <c r="C116" i="332"/>
  <c r="Y115" i="332"/>
  <c r="AA137" i="332"/>
  <c r="AD137" i="332"/>
  <c r="X115" i="332"/>
  <c r="W115" i="332"/>
  <c r="V115" i="332"/>
  <c r="U115" i="332" l="1"/>
  <c r="R115" i="332"/>
  <c r="Q115" i="332"/>
  <c r="P115" i="332"/>
  <c r="O115" i="332"/>
  <c r="N115" i="332"/>
  <c r="H115" i="332"/>
  <c r="J115" i="332"/>
  <c r="K115" i="332"/>
  <c r="AA115" i="332" s="1"/>
  <c r="AB115" i="332" s="1"/>
  <c r="AA114" i="332"/>
  <c r="AB114" i="332" s="1"/>
  <c r="L115" i="332"/>
  <c r="AD115" i="332" s="1"/>
  <c r="AE115" i="332" s="1"/>
  <c r="AD114" i="332"/>
  <c r="AE114" i="332" s="1"/>
  <c r="M115" i="332"/>
  <c r="AE137" i="332"/>
  <c r="D137" i="332" s="1"/>
  <c r="AB137" i="332"/>
  <c r="C137" i="332" s="1"/>
  <c r="AA110" i="332" l="1"/>
  <c r="AB110" i="332" s="1"/>
  <c r="AD110" i="332"/>
  <c r="AE110" i="332" s="1"/>
  <c r="X109" i="332"/>
  <c r="W109" i="332"/>
  <c r="V109" i="332"/>
  <c r="U109" i="332"/>
  <c r="R109" i="332"/>
  <c r="Q109" i="332"/>
  <c r="P109" i="332"/>
  <c r="O109" i="332"/>
  <c r="N109" i="332"/>
  <c r="M109" i="332"/>
  <c r="L109" i="332"/>
  <c r="AD109" i="332" s="1"/>
  <c r="K109" i="332"/>
  <c r="AA109" i="332" s="1"/>
  <c r="J109" i="332"/>
  <c r="H109" i="332"/>
  <c r="C110" i="332" l="1"/>
  <c r="D110" i="332"/>
  <c r="AA108" i="332" l="1"/>
  <c r="AB108" i="332" s="1"/>
  <c r="AD108" i="332"/>
  <c r="AE108" i="332" s="1"/>
  <c r="C108" i="332" l="1"/>
  <c r="D108" i="332"/>
  <c r="AA106" i="332" l="1"/>
  <c r="AB106" i="332" s="1"/>
  <c r="AD106" i="332"/>
  <c r="AE106" i="332" s="1"/>
  <c r="C106" i="332" l="1"/>
  <c r="D106" i="332"/>
  <c r="AA105" i="332" l="1"/>
  <c r="AB105" i="332" s="1"/>
  <c r="AD105" i="332"/>
  <c r="AE105" i="332" s="1"/>
  <c r="C105" i="332" l="1"/>
  <c r="D105" i="332"/>
  <c r="AA104" i="332" l="1"/>
  <c r="AB104" i="332" s="1"/>
  <c r="AD104" i="332"/>
  <c r="AE104" i="332" s="1"/>
  <c r="C104" i="332" l="1"/>
  <c r="D104" i="332"/>
  <c r="K111" i="332" l="1"/>
  <c r="AA103" i="332"/>
  <c r="AB103" i="332" s="1"/>
  <c r="L111" i="332"/>
  <c r="AD103" i="332"/>
  <c r="AE103" i="332" s="1"/>
  <c r="C103" i="332" l="1"/>
  <c r="AA111" i="332"/>
  <c r="AD111" i="332"/>
  <c r="D103" i="332"/>
  <c r="AB111" i="332" l="1"/>
  <c r="C111" i="332" s="1"/>
  <c r="AE111" i="332"/>
  <c r="D111" i="332" s="1"/>
  <c r="Y101" i="332" l="1"/>
  <c r="K101" i="332" l="1"/>
  <c r="AA101" i="332" s="1"/>
  <c r="AB101" i="332" s="1"/>
  <c r="AA100" i="332"/>
  <c r="AB100" i="332" s="1"/>
  <c r="L101" i="332"/>
  <c r="AD101" i="332" s="1"/>
  <c r="AE101" i="332" s="1"/>
  <c r="AD100" i="332"/>
  <c r="AE100" i="332" s="1"/>
  <c r="U101" i="332"/>
  <c r="U102" i="332" s="1"/>
  <c r="R101" i="332"/>
  <c r="R102" i="332" s="1"/>
  <c r="Q101" i="332"/>
  <c r="Q102" i="332" s="1"/>
  <c r="P101" i="332"/>
  <c r="P102" i="332" s="1"/>
  <c r="O101" i="332"/>
  <c r="O102" i="332" s="1"/>
  <c r="N101" i="332"/>
  <c r="N102" i="332" s="1"/>
  <c r="H101" i="332"/>
  <c r="H102" i="332" s="1"/>
  <c r="J101" i="332"/>
  <c r="J102" i="332" s="1"/>
  <c r="AA99" i="332"/>
  <c r="AD99" i="332"/>
  <c r="M101" i="332"/>
  <c r="M102" i="332" s="1"/>
  <c r="W101" i="332"/>
  <c r="W102" i="332" s="1"/>
  <c r="V101" i="332"/>
  <c r="V102" i="332" s="1"/>
  <c r="X101" i="332"/>
  <c r="X102" i="332" s="1"/>
  <c r="Y102" i="332"/>
  <c r="L102" i="332" l="1"/>
  <c r="K102" i="332"/>
  <c r="AA102" i="332"/>
  <c r="AB99" i="332"/>
  <c r="AD102" i="332"/>
  <c r="AE99" i="332"/>
  <c r="AA98" i="332" l="1"/>
  <c r="AB98" i="332" s="1"/>
  <c r="AD98" i="332"/>
  <c r="AE98" i="332" s="1"/>
  <c r="U367" i="332" l="1"/>
  <c r="R367" i="332"/>
  <c r="Q367" i="332"/>
  <c r="P367" i="332"/>
  <c r="O367" i="332"/>
  <c r="N367" i="332"/>
  <c r="H367" i="332"/>
  <c r="J367" i="332"/>
  <c r="K367" i="332"/>
  <c r="AA97" i="332"/>
  <c r="L367" i="332"/>
  <c r="AD97" i="332"/>
  <c r="M367" i="332"/>
  <c r="Y363" i="332" l="1"/>
  <c r="AD367" i="332"/>
  <c r="AE97" i="332"/>
  <c r="AA367" i="332"/>
  <c r="AB97" i="332"/>
  <c r="X363" i="332"/>
  <c r="W363" i="332"/>
  <c r="V363" i="332"/>
  <c r="U363" i="332" l="1"/>
  <c r="R363" i="332"/>
  <c r="Q363" i="332"/>
  <c r="P363" i="332"/>
  <c r="O363" i="332"/>
  <c r="N363" i="332"/>
  <c r="H363" i="332"/>
  <c r="J363" i="332"/>
  <c r="K363" i="332"/>
  <c r="AA96" i="332"/>
  <c r="L363" i="332"/>
  <c r="AD96" i="332"/>
  <c r="M363" i="332"/>
  <c r="AD363" i="332" l="1"/>
  <c r="AE96" i="332"/>
  <c r="AA363" i="332"/>
  <c r="AB96" i="332"/>
  <c r="X362" i="332"/>
  <c r="W362" i="332"/>
  <c r="V362" i="332"/>
  <c r="U362" i="332" l="1"/>
  <c r="R362" i="332"/>
  <c r="Q362" i="332"/>
  <c r="P362" i="332"/>
  <c r="O362" i="332"/>
  <c r="N362" i="332"/>
  <c r="H362" i="332"/>
  <c r="J362" i="332"/>
  <c r="K362" i="332"/>
  <c r="AA95" i="332"/>
  <c r="L362" i="332"/>
  <c r="AD95" i="332"/>
  <c r="M362" i="332"/>
  <c r="Y186" i="332" l="1"/>
  <c r="AD362" i="332"/>
  <c r="AE95" i="332"/>
  <c r="AA362" i="332"/>
  <c r="AB95" i="332"/>
  <c r="X186" i="332"/>
  <c r="W186" i="332"/>
  <c r="V186" i="332"/>
  <c r="U186" i="332" l="1"/>
  <c r="R186" i="332"/>
  <c r="Q186" i="332"/>
  <c r="P186" i="332"/>
  <c r="O186" i="332"/>
  <c r="N186" i="332"/>
  <c r="H186" i="332"/>
  <c r="I186" i="332"/>
  <c r="J186" i="332"/>
  <c r="K186" i="332"/>
  <c r="AA92" i="332"/>
  <c r="L186" i="332"/>
  <c r="AD92" i="332"/>
  <c r="M186" i="332"/>
  <c r="AE92" i="332" l="1"/>
  <c r="D92" i="332" s="1"/>
  <c r="AD186" i="332"/>
  <c r="AA186" i="332"/>
  <c r="AB92" i="332"/>
  <c r="C92" i="332" s="1"/>
  <c r="AA89" i="332" l="1"/>
  <c r="AB89" i="332" s="1"/>
  <c r="AD89" i="332"/>
  <c r="AE89" i="332" s="1"/>
  <c r="AB186" i="332"/>
  <c r="C186" i="332" s="1"/>
  <c r="AE186" i="332"/>
  <c r="D186" i="332" s="1"/>
  <c r="C89" i="332" l="1"/>
  <c r="D89" i="332"/>
  <c r="AA88" i="332" l="1"/>
  <c r="AB88" i="332" s="1"/>
  <c r="AD88" i="332"/>
  <c r="AE88" i="332" s="1"/>
  <c r="C88" i="332" l="1"/>
  <c r="D88" i="332"/>
  <c r="AA87" i="332" l="1"/>
  <c r="AB87" i="332" s="1"/>
  <c r="AD87" i="332"/>
  <c r="AE87" i="332" s="1"/>
  <c r="C87" i="332" l="1"/>
  <c r="D87" i="332"/>
  <c r="AA86" i="332" l="1"/>
  <c r="AB86" i="332" s="1"/>
  <c r="AD86" i="332"/>
  <c r="AE86" i="332" s="1"/>
  <c r="C86" i="332" l="1"/>
  <c r="D86" i="332"/>
  <c r="AA85" i="332" l="1"/>
  <c r="AB85" i="332" s="1"/>
  <c r="AD85" i="332"/>
  <c r="AE85" i="332" s="1"/>
  <c r="C85" i="332" l="1"/>
  <c r="D85" i="332"/>
  <c r="AA84" i="332" l="1"/>
  <c r="AB84" i="332" s="1"/>
  <c r="AD84" i="332"/>
  <c r="AE84" i="332" s="1"/>
  <c r="C84" i="332" l="1"/>
  <c r="D84" i="332"/>
  <c r="AA82" i="332" l="1"/>
  <c r="AB82" i="332" s="1"/>
  <c r="K83" i="332"/>
  <c r="AA83" i="332" s="1"/>
  <c r="L83" i="332"/>
  <c r="AD83" i="332" s="1"/>
  <c r="AD82" i="332"/>
  <c r="AE82" i="332" s="1"/>
  <c r="D82" i="332" l="1"/>
  <c r="C82" i="332"/>
  <c r="X83" i="332"/>
  <c r="W83" i="332"/>
  <c r="V83" i="332"/>
  <c r="U83" i="332" l="1"/>
  <c r="R83" i="332"/>
  <c r="Q83" i="332"/>
  <c r="P83" i="332"/>
  <c r="O83" i="332"/>
  <c r="N83" i="332"/>
  <c r="H83" i="332"/>
  <c r="I81" i="332"/>
  <c r="I83" i="332" s="1"/>
  <c r="J81" i="332"/>
  <c r="J83" i="332" s="1"/>
  <c r="M81" i="332"/>
  <c r="M83" i="332" s="1"/>
  <c r="Y81" i="332"/>
  <c r="Y83" i="332" s="1"/>
  <c r="AE83" i="332" l="1"/>
  <c r="D83" i="332" s="1"/>
  <c r="AB83" i="332"/>
  <c r="C83" i="332" s="1"/>
  <c r="AA77" i="332" l="1"/>
  <c r="AB77" i="332" s="1"/>
  <c r="AD77" i="332"/>
  <c r="AE77" i="332" s="1"/>
  <c r="Y78" i="332" l="1"/>
  <c r="D77" i="332"/>
  <c r="C77" i="332"/>
  <c r="X78" i="332"/>
  <c r="X79" i="332" s="1"/>
  <c r="W78" i="332"/>
  <c r="W79" i="332" s="1"/>
  <c r="V78" i="332"/>
  <c r="V79" i="332" s="1"/>
  <c r="U78" i="332" l="1"/>
  <c r="R78" i="332"/>
  <c r="Q78" i="332"/>
  <c r="P78" i="332"/>
  <c r="O78" i="332"/>
  <c r="N78" i="332"/>
  <c r="H78" i="332"/>
  <c r="I78" i="332"/>
  <c r="J78" i="332"/>
  <c r="K78" i="332"/>
  <c r="AA78" i="332" s="1"/>
  <c r="AB78" i="332" s="1"/>
  <c r="C78" i="332" s="1"/>
  <c r="AA76" i="332"/>
  <c r="AB76" i="332" s="1"/>
  <c r="L78" i="332"/>
  <c r="AD78" i="332" s="1"/>
  <c r="AE78" i="332" s="1"/>
  <c r="D78" i="332" s="1"/>
  <c r="AD76" i="332"/>
  <c r="AE76" i="332" s="1"/>
  <c r="M78" i="332"/>
  <c r="X75" i="332"/>
  <c r="W75" i="332"/>
  <c r="V75" i="332"/>
  <c r="D76" i="332" l="1"/>
  <c r="C76" i="332"/>
  <c r="AA74" i="332" l="1"/>
  <c r="AB74" i="332" s="1"/>
  <c r="AD74" i="332"/>
  <c r="AE74" i="332" s="1"/>
  <c r="X73" i="332"/>
  <c r="W73" i="332"/>
  <c r="V73" i="332"/>
  <c r="C74" i="332" l="1"/>
  <c r="D74" i="332"/>
  <c r="AA71" i="332" l="1"/>
  <c r="AB71" i="332" s="1"/>
  <c r="AD71" i="332"/>
  <c r="AE71" i="332" s="1"/>
  <c r="C71" i="332" l="1"/>
  <c r="Y72" i="332"/>
  <c r="D71" i="332"/>
  <c r="X72" i="332"/>
  <c r="X91" i="332" s="1"/>
  <c r="X90" i="332" s="1"/>
  <c r="W72" i="332"/>
  <c r="W91" i="332" s="1"/>
  <c r="W90" i="332" s="1"/>
  <c r="V72" i="332"/>
  <c r="V91" i="332" s="1"/>
  <c r="V90" i="332" s="1"/>
  <c r="U72" i="332" l="1"/>
  <c r="U91" i="332" s="1"/>
  <c r="U90" i="332" s="1"/>
  <c r="R72" i="332"/>
  <c r="R91" i="332" s="1"/>
  <c r="R90" i="332" s="1"/>
  <c r="Q72" i="332"/>
  <c r="Q91" i="332" s="1"/>
  <c r="Q90" i="332" s="1"/>
  <c r="P72" i="332"/>
  <c r="P91" i="332" s="1"/>
  <c r="P90" i="332" s="1"/>
  <c r="O72" i="332"/>
  <c r="O91" i="332" s="1"/>
  <c r="O90" i="332" s="1"/>
  <c r="N72" i="332"/>
  <c r="N91" i="332" s="1"/>
  <c r="N90" i="332" s="1"/>
  <c r="H72" i="332"/>
  <c r="H91" i="332" s="1"/>
  <c r="H90" i="332" s="1"/>
  <c r="I72" i="332"/>
  <c r="I91" i="332" s="1"/>
  <c r="I90" i="332" s="1"/>
  <c r="J72" i="332"/>
  <c r="J91" i="332" s="1"/>
  <c r="J90" i="332" s="1"/>
  <c r="K72" i="332"/>
  <c r="AA70" i="332"/>
  <c r="AB70" i="332" s="1"/>
  <c r="L72" i="332"/>
  <c r="AD70" i="332"/>
  <c r="AE70" i="332" s="1"/>
  <c r="M72" i="332"/>
  <c r="M91" i="332" s="1"/>
  <c r="M90" i="332" s="1"/>
  <c r="Y91" i="332"/>
  <c r="C70" i="332" l="1"/>
  <c r="K91" i="332"/>
  <c r="AA72" i="332"/>
  <c r="L91" i="332"/>
  <c r="AD72" i="332"/>
  <c r="D70" i="332"/>
  <c r="Y90" i="332"/>
  <c r="AA67" i="332" l="1"/>
  <c r="AB67" i="332" s="1"/>
  <c r="AD67" i="332"/>
  <c r="AE67" i="332" s="1"/>
  <c r="AE72" i="332"/>
  <c r="D72" i="332" s="1"/>
  <c r="K90" i="332"/>
  <c r="AA90" i="332" s="1"/>
  <c r="AB90" i="332" s="1"/>
  <c r="C90" i="332" s="1"/>
  <c r="AA91" i="332"/>
  <c r="AB72" i="332"/>
  <c r="C72" i="332" s="1"/>
  <c r="AD91" i="332"/>
  <c r="L90" i="332"/>
  <c r="AD90" i="332" s="1"/>
  <c r="C67" i="332" l="1"/>
  <c r="AB91" i="332"/>
  <c r="C91" i="332" s="1"/>
  <c r="AE91" i="332"/>
  <c r="D91" i="332" s="1"/>
  <c r="AE90" i="332"/>
  <c r="D90" i="332" s="1"/>
  <c r="D67" i="332"/>
  <c r="AA66" i="332" l="1"/>
  <c r="AB66" i="332" s="1"/>
  <c r="AD66" i="332"/>
  <c r="AE66" i="332" s="1"/>
  <c r="C66" i="332" l="1"/>
  <c r="D66" i="332"/>
  <c r="AA65" i="332" l="1"/>
  <c r="AB65" i="332" s="1"/>
  <c r="AD65" i="332"/>
  <c r="AE65" i="332" s="1"/>
  <c r="C65" i="332" l="1"/>
  <c r="Y68" i="332"/>
  <c r="D65" i="332"/>
  <c r="X68" i="332"/>
  <c r="W68" i="332"/>
  <c r="V68" i="332"/>
  <c r="U68" i="332" l="1"/>
  <c r="R68" i="332"/>
  <c r="Q68" i="332"/>
  <c r="P68" i="332"/>
  <c r="O68" i="332"/>
  <c r="N68" i="332"/>
  <c r="H68" i="332"/>
  <c r="I68" i="332"/>
  <c r="J68" i="332"/>
  <c r="K68" i="332"/>
  <c r="AA68" i="332" s="1"/>
  <c r="AB68" i="332" s="1"/>
  <c r="C68" i="332" s="1"/>
  <c r="AA64" i="332"/>
  <c r="AB64" i="332" s="1"/>
  <c r="L68" i="332"/>
  <c r="AD68" i="332" s="1"/>
  <c r="AE68" i="332" s="1"/>
  <c r="D68" i="332" s="1"/>
  <c r="AD64" i="332"/>
  <c r="AE64" i="332" s="1"/>
  <c r="M68" i="332"/>
  <c r="D64" i="332" l="1"/>
  <c r="C64" i="332"/>
  <c r="AA62" i="332" l="1"/>
  <c r="AB62" i="332" s="1"/>
  <c r="AD62" i="332"/>
  <c r="AE62" i="332" s="1"/>
  <c r="C62" i="332" l="1"/>
  <c r="Y63" i="332"/>
  <c r="D62" i="332"/>
  <c r="X63" i="332"/>
  <c r="W63" i="332"/>
  <c r="V63" i="332"/>
  <c r="U63" i="332" l="1"/>
  <c r="R63" i="332"/>
  <c r="Q63" i="332"/>
  <c r="P63" i="332"/>
  <c r="O63" i="332"/>
  <c r="N63" i="332"/>
  <c r="H63" i="332"/>
  <c r="I63" i="332"/>
  <c r="J63" i="332"/>
  <c r="K63" i="332"/>
  <c r="AA63" i="332" s="1"/>
  <c r="AA61" i="332"/>
  <c r="AB61" i="332" s="1"/>
  <c r="L63" i="332"/>
  <c r="AD63" i="332" s="1"/>
  <c r="AD61" i="332"/>
  <c r="AE61" i="332" s="1"/>
  <c r="M63" i="332"/>
  <c r="AE63" i="332" l="1"/>
  <c r="D63" i="332" s="1"/>
  <c r="D61" i="332"/>
  <c r="AB63" i="332"/>
  <c r="C63" i="332" s="1"/>
  <c r="C61" i="332"/>
  <c r="AA60" i="332" l="1"/>
  <c r="AB60" i="332" s="1"/>
  <c r="AD60" i="332"/>
  <c r="AE60" i="332" l="1"/>
  <c r="C60" i="332"/>
  <c r="Y79" i="332"/>
  <c r="D60" i="332"/>
  <c r="U79" i="332" l="1"/>
  <c r="R79" i="332"/>
  <c r="Q79" i="332"/>
  <c r="P79" i="332"/>
  <c r="O79" i="332"/>
  <c r="N79" i="332"/>
  <c r="H79" i="332"/>
  <c r="I79" i="332"/>
  <c r="J79" i="332"/>
  <c r="K79" i="332"/>
  <c r="AA56" i="332"/>
  <c r="L79" i="332"/>
  <c r="AD56" i="332"/>
  <c r="M79" i="332"/>
  <c r="AD79" i="332" l="1"/>
  <c r="AE56" i="332"/>
  <c r="D56" i="332" s="1"/>
  <c r="AA79" i="332"/>
  <c r="AB56" i="332"/>
  <c r="C56" i="332" s="1"/>
  <c r="AA54" i="332" l="1"/>
  <c r="AB54" i="332" s="1"/>
  <c r="AD54" i="332"/>
  <c r="AE54" i="332" s="1"/>
  <c r="D54" i="332" l="1"/>
  <c r="C54" i="332"/>
  <c r="AA51" i="332" l="1"/>
  <c r="AB51" i="332" s="1"/>
  <c r="AD51" i="332"/>
  <c r="AE51" i="332" s="1"/>
  <c r="C51" i="332" l="1"/>
  <c r="D51" i="332"/>
  <c r="AA49" i="332" l="1"/>
  <c r="AB49" i="332" s="1"/>
  <c r="AD49" i="332"/>
  <c r="AE49" i="332" s="1"/>
  <c r="D49" i="332" l="1"/>
  <c r="C49" i="332"/>
  <c r="AA48" i="332" l="1"/>
  <c r="AB48" i="332" s="1"/>
  <c r="AD48" i="332"/>
  <c r="AE48" i="332" s="1"/>
  <c r="C48" i="332" l="1"/>
  <c r="Y50" i="332"/>
  <c r="D48" i="332"/>
  <c r="X50" i="332"/>
  <c r="W50" i="332"/>
  <c r="V50" i="332"/>
  <c r="U50" i="332" l="1"/>
  <c r="R50" i="332"/>
  <c r="Q50" i="332"/>
  <c r="P50" i="332"/>
  <c r="O50" i="332"/>
  <c r="N50" i="332"/>
  <c r="H50" i="332"/>
  <c r="I50" i="332"/>
  <c r="J50" i="332"/>
  <c r="K50" i="332"/>
  <c r="AA50" i="332" s="1"/>
  <c r="AB50" i="332" s="1"/>
  <c r="C50" i="332" s="1"/>
  <c r="AA47" i="332"/>
  <c r="AB47" i="332" s="1"/>
  <c r="L50" i="332"/>
  <c r="AD50" i="332" s="1"/>
  <c r="AE50" i="332" s="1"/>
  <c r="D50" i="332" s="1"/>
  <c r="AD47" i="332"/>
  <c r="AE47" i="332" s="1"/>
  <c r="M50" i="332"/>
  <c r="D47" i="332" l="1"/>
  <c r="C47" i="332"/>
  <c r="AA45" i="332" l="1"/>
  <c r="AB45" i="332" s="1"/>
  <c r="AD45" i="332"/>
  <c r="AE45" i="332" s="1"/>
  <c r="C45" i="332" l="1"/>
  <c r="Y46" i="332"/>
  <c r="D45" i="332"/>
  <c r="X46" i="332"/>
  <c r="W46" i="332"/>
  <c r="V46" i="332"/>
  <c r="U46" i="332" l="1"/>
  <c r="R46" i="332"/>
  <c r="Q46" i="332"/>
  <c r="P46" i="332"/>
  <c r="O46" i="332"/>
  <c r="N46" i="332"/>
  <c r="H46" i="332"/>
  <c r="I46" i="332"/>
  <c r="J46" i="332"/>
  <c r="K46" i="332"/>
  <c r="AA46" i="332" s="1"/>
  <c r="AB46" i="332" s="1"/>
  <c r="AA44" i="332"/>
  <c r="AB44" i="332" s="1"/>
  <c r="L46" i="332"/>
  <c r="AD46" i="332" s="1"/>
  <c r="D46" i="332" s="1"/>
  <c r="AD44" i="332"/>
  <c r="AE44" i="332" s="1"/>
  <c r="M46" i="332"/>
  <c r="AE46" i="332" l="1"/>
  <c r="D44" i="332"/>
  <c r="C44" i="332"/>
  <c r="C46" i="332"/>
  <c r="AA42" i="332" l="1"/>
  <c r="AB42" i="332" s="1"/>
  <c r="AD42" i="332"/>
  <c r="AE42" i="332" s="1"/>
  <c r="C42" i="332" l="1"/>
  <c r="Y43" i="332"/>
  <c r="D42" i="332"/>
  <c r="X43" i="332"/>
  <c r="W43" i="332"/>
  <c r="V43" i="332"/>
  <c r="U43" i="332" l="1"/>
  <c r="R43" i="332"/>
  <c r="Q43" i="332"/>
  <c r="P43" i="332"/>
  <c r="O43" i="332"/>
  <c r="N43" i="332"/>
  <c r="H43" i="332"/>
  <c r="I43" i="332"/>
  <c r="J43" i="332"/>
  <c r="K43" i="332"/>
  <c r="AA43" i="332" s="1"/>
  <c r="AB43" i="332" s="1"/>
  <c r="C43" i="332" s="1"/>
  <c r="AA41" i="332"/>
  <c r="AB41" i="332" s="1"/>
  <c r="L43" i="332"/>
  <c r="AD43" i="332" s="1"/>
  <c r="AE43" i="332" s="1"/>
  <c r="D43" i="332" s="1"/>
  <c r="AD41" i="332"/>
  <c r="AE41" i="332" s="1"/>
  <c r="M43" i="332"/>
  <c r="D41" i="332" l="1"/>
  <c r="C41" i="332"/>
  <c r="AA39" i="332" l="1"/>
  <c r="AB39" i="332" s="1"/>
  <c r="AD39" i="332"/>
  <c r="AE39" i="332" s="1"/>
  <c r="Y40" i="332" l="1"/>
  <c r="D39" i="332"/>
  <c r="C39" i="332"/>
  <c r="X40" i="332"/>
  <c r="W40" i="332"/>
  <c r="V40" i="332"/>
  <c r="U40" i="332" l="1"/>
  <c r="R40" i="332"/>
  <c r="Q40" i="332"/>
  <c r="P40" i="332"/>
  <c r="O40" i="332"/>
  <c r="N40" i="332"/>
  <c r="H40" i="332"/>
  <c r="I40" i="332"/>
  <c r="J40" i="332"/>
  <c r="K40" i="332"/>
  <c r="AA38" i="332"/>
  <c r="AB38" i="332" s="1"/>
  <c r="L40" i="332"/>
  <c r="AD38" i="332"/>
  <c r="AE38" i="332" s="1"/>
  <c r="M40" i="332"/>
  <c r="AA40" i="332" l="1"/>
  <c r="AD40" i="332"/>
  <c r="D38" i="332"/>
  <c r="C38" i="332"/>
  <c r="AA36" i="332" l="1"/>
  <c r="AB36" i="332" s="1"/>
  <c r="AD36" i="332"/>
  <c r="AE36" i="332" s="1"/>
  <c r="AE40" i="332"/>
  <c r="D40" i="332"/>
  <c r="C40" i="332"/>
  <c r="AB40" i="332"/>
  <c r="C36" i="332" l="1"/>
  <c r="Y37" i="332"/>
  <c r="D36" i="332"/>
  <c r="X37" i="332"/>
  <c r="X52" i="332" s="1"/>
  <c r="W37" i="332"/>
  <c r="W52" i="332" s="1"/>
  <c r="V37" i="332"/>
  <c r="V52" i="332" s="1"/>
  <c r="U37" i="332" l="1"/>
  <c r="U52" i="332" s="1"/>
  <c r="R37" i="332"/>
  <c r="R52" i="332" s="1"/>
  <c r="Q37" i="332"/>
  <c r="Q52" i="332" s="1"/>
  <c r="P37" i="332"/>
  <c r="P52" i="332" s="1"/>
  <c r="O37" i="332"/>
  <c r="O52" i="332" s="1"/>
  <c r="N37" i="332"/>
  <c r="N52" i="332" s="1"/>
  <c r="H37" i="332"/>
  <c r="H52" i="332" s="1"/>
  <c r="I37" i="332"/>
  <c r="I52" i="332" s="1"/>
  <c r="J37" i="332"/>
  <c r="J52" i="332" s="1"/>
  <c r="K37" i="332"/>
  <c r="AA35" i="332"/>
  <c r="AB35" i="332" s="1"/>
  <c r="L37" i="332"/>
  <c r="AD35" i="332"/>
  <c r="AE35" i="332" s="1"/>
  <c r="M37" i="332"/>
  <c r="M52" i="332" s="1"/>
  <c r="Y52" i="332"/>
  <c r="C35" i="332" l="1"/>
  <c r="AA37" i="332"/>
  <c r="K52" i="332"/>
  <c r="AA52" i="332" s="1"/>
  <c r="AB52" i="332" s="1"/>
  <c r="C52" i="332" s="1"/>
  <c r="AD37" i="332"/>
  <c r="L52" i="332"/>
  <c r="AD52" i="332" s="1"/>
  <c r="D35" i="332"/>
  <c r="AA31" i="332" l="1"/>
  <c r="AB31" i="332" s="1"/>
  <c r="AD31" i="332"/>
  <c r="AE31" i="332" s="1"/>
  <c r="D52" i="332"/>
  <c r="C37" i="332"/>
  <c r="AB37" i="332"/>
  <c r="D37" i="332"/>
  <c r="AE37" i="332"/>
  <c r="AE52" i="332"/>
  <c r="C31" i="332" l="1"/>
  <c r="D31" i="332"/>
  <c r="AA30" i="332" l="1"/>
  <c r="AB30" i="332" s="1"/>
  <c r="AD30" i="332"/>
  <c r="AE30" i="332" s="1"/>
  <c r="D30" i="332" l="1"/>
  <c r="C30" i="332"/>
  <c r="AA29" i="332" l="1"/>
  <c r="AB29" i="332" s="1"/>
  <c r="AD29" i="332"/>
  <c r="AE29" i="332" s="1"/>
  <c r="C29" i="332" l="1"/>
  <c r="D29" i="332"/>
  <c r="AA28" i="332" l="1"/>
  <c r="AB28" i="332" s="1"/>
  <c r="AD28" i="332"/>
  <c r="AE28" i="332" s="1"/>
  <c r="C28" i="332" l="1"/>
  <c r="D28" i="332"/>
  <c r="AA27" i="332" l="1"/>
  <c r="AB27" i="332" s="1"/>
  <c r="AD27" i="332"/>
  <c r="AE27" i="332" s="1"/>
  <c r="C27" i="332" l="1"/>
  <c r="D27" i="332"/>
  <c r="AA26" i="332" l="1"/>
  <c r="AB26" i="332" s="1"/>
  <c r="AD26" i="332"/>
  <c r="AE26" i="332" s="1"/>
  <c r="C26" i="332" l="1"/>
  <c r="Y25" i="332"/>
  <c r="D26" i="332"/>
  <c r="X25" i="332"/>
  <c r="W25" i="332"/>
  <c r="V25" i="332"/>
  <c r="U25" i="332" l="1"/>
  <c r="R25" i="332"/>
  <c r="Q25" i="332"/>
  <c r="P25" i="332"/>
  <c r="O25" i="332"/>
  <c r="N25" i="332"/>
  <c r="H25" i="332"/>
  <c r="I25" i="332"/>
  <c r="J25" i="332"/>
  <c r="AA24" i="332"/>
  <c r="AB24" i="332" s="1"/>
  <c r="K25" i="332"/>
  <c r="AA25" i="332" s="1"/>
  <c r="AB25" i="332" s="1"/>
  <c r="L25" i="332"/>
  <c r="AD25" i="332" s="1"/>
  <c r="AE25" i="332" s="1"/>
  <c r="AD24" i="332"/>
  <c r="AE24" i="332" s="1"/>
  <c r="M25" i="332"/>
  <c r="C25" i="332" l="1"/>
  <c r="D25" i="332"/>
  <c r="D24" i="332"/>
  <c r="C24" i="332"/>
  <c r="AA23" i="332" l="1"/>
  <c r="AB23" i="332" s="1"/>
  <c r="AD23" i="332"/>
  <c r="AE23" i="332" s="1"/>
  <c r="C23" i="332" l="1"/>
  <c r="D23" i="332"/>
  <c r="AA22" i="332" l="1"/>
  <c r="AB22" i="332" s="1"/>
  <c r="AD22" i="332"/>
  <c r="AE22" i="332" s="1"/>
  <c r="C22" i="332" l="1"/>
  <c r="Y32" i="332"/>
  <c r="D22" i="332"/>
  <c r="X32" i="332"/>
  <c r="X33" i="332" s="1"/>
  <c r="W32" i="332"/>
  <c r="W33" i="332" s="1"/>
  <c r="V32" i="332"/>
  <c r="V33" i="332" s="1"/>
  <c r="U32" i="332" l="1"/>
  <c r="U33" i="332" s="1"/>
  <c r="R32" i="332"/>
  <c r="R33" i="332" s="1"/>
  <c r="Q32" i="332"/>
  <c r="Q33" i="332" s="1"/>
  <c r="P32" i="332"/>
  <c r="P33" i="332" s="1"/>
  <c r="O32" i="332"/>
  <c r="O33" i="332" s="1"/>
  <c r="N32" i="332"/>
  <c r="N33" i="332" s="1"/>
  <c r="H32" i="332"/>
  <c r="H33" i="332" s="1"/>
  <c r="I32" i="332"/>
  <c r="I33" i="332" s="1"/>
  <c r="J32" i="332"/>
  <c r="J33" i="332" s="1"/>
  <c r="K32" i="332"/>
  <c r="AA20" i="332"/>
  <c r="AB20" i="332" s="1"/>
  <c r="L32" i="332"/>
  <c r="AD20" i="332"/>
  <c r="AE20" i="332" s="1"/>
  <c r="M32" i="332"/>
  <c r="M33" i="332" s="1"/>
  <c r="Y33" i="332"/>
  <c r="C20" i="332" l="1"/>
  <c r="AA32" i="332"/>
  <c r="K33" i="332"/>
  <c r="AA33" i="332" s="1"/>
  <c r="AB33" i="332" s="1"/>
  <c r="AD32" i="332"/>
  <c r="L33" i="332"/>
  <c r="AD33" i="332" s="1"/>
  <c r="AE33" i="332" s="1"/>
  <c r="D33" i="332" s="1"/>
  <c r="D20" i="332"/>
  <c r="C33" i="332" l="1"/>
  <c r="AA17" i="332"/>
  <c r="AB17" i="332" s="1"/>
  <c r="AD17" i="332"/>
  <c r="AE17" i="332" s="1"/>
  <c r="AB32" i="332"/>
  <c r="C32" i="332" s="1"/>
  <c r="AE32" i="332"/>
  <c r="D32" i="332" s="1"/>
  <c r="C17" i="332" l="1"/>
  <c r="Y18" i="332"/>
  <c r="D17" i="332"/>
  <c r="X18" i="332"/>
  <c r="X58" i="332" s="1"/>
  <c r="X365" i="332" s="1"/>
  <c r="W18" i="332"/>
  <c r="W58" i="332" s="1"/>
  <c r="W365" i="332" s="1"/>
  <c r="V18" i="332"/>
  <c r="V58" i="332" s="1"/>
  <c r="V365" i="332" s="1"/>
  <c r="X189" i="332" l="1"/>
  <c r="X283" i="332"/>
  <c r="X280" i="332"/>
  <c r="X247" i="332"/>
  <c r="X234" i="332"/>
  <c r="X208" i="332"/>
  <c r="X286" i="332"/>
  <c r="X184" i="332"/>
  <c r="X153" i="332"/>
  <c r="X138" i="332"/>
  <c r="X112" i="332"/>
  <c r="X93" i="332"/>
  <c r="X187" i="332"/>
  <c r="W189" i="332"/>
  <c r="W283" i="332"/>
  <c r="W280" i="332"/>
  <c r="W247" i="332"/>
  <c r="W234" i="332"/>
  <c r="W208" i="332"/>
  <c r="W286" i="332"/>
  <c r="W184" i="332"/>
  <c r="W153" i="332"/>
  <c r="W138" i="332"/>
  <c r="W112" i="332"/>
  <c r="W93" i="332"/>
  <c r="W187" i="332"/>
  <c r="V189" i="332"/>
  <c r="V283" i="332"/>
  <c r="V280" i="332"/>
  <c r="V247" i="332"/>
  <c r="V234" i="332"/>
  <c r="V208" i="332"/>
  <c r="V286" i="332"/>
  <c r="V184" i="332"/>
  <c r="V153" i="332"/>
  <c r="V138" i="332"/>
  <c r="V112" i="332"/>
  <c r="V93" i="332"/>
  <c r="V187" i="332"/>
  <c r="U18" i="332"/>
  <c r="U58" i="332" s="1"/>
  <c r="R18" i="332"/>
  <c r="R58" i="332" s="1"/>
  <c r="Q18" i="332"/>
  <c r="Q58" i="332" s="1"/>
  <c r="P18" i="332"/>
  <c r="P58" i="332" s="1"/>
  <c r="O18" i="332"/>
  <c r="O58" i="332" s="1"/>
  <c r="N18" i="332"/>
  <c r="N58" i="332" s="1"/>
  <c r="H18" i="332"/>
  <c r="H58" i="332" s="1"/>
  <c r="I18" i="332"/>
  <c r="I58" i="332" s="1"/>
  <c r="J18" i="332"/>
  <c r="J58" i="332" s="1"/>
  <c r="K18" i="332"/>
  <c r="AA16" i="332"/>
  <c r="AB16" i="332" s="1"/>
  <c r="L18" i="332"/>
  <c r="AD16" i="332"/>
  <c r="AE16" i="332" s="1"/>
  <c r="M18" i="332"/>
  <c r="M58" i="332" s="1"/>
  <c r="Y58" i="332"/>
  <c r="X288" i="332" l="1"/>
  <c r="X289" i="332" s="1"/>
  <c r="X190" i="332"/>
  <c r="W288" i="332"/>
  <c r="W289" i="332" s="1"/>
  <c r="W190" i="332"/>
  <c r="V288" i="332"/>
  <c r="V289" i="332" s="1"/>
  <c r="V190" i="332"/>
  <c r="C16" i="332"/>
  <c r="J283" i="332"/>
  <c r="J280" i="332"/>
  <c r="J247" i="332"/>
  <c r="J234" i="332"/>
  <c r="J208" i="332"/>
  <c r="J286" i="332"/>
  <c r="J189" i="332"/>
  <c r="J184" i="332"/>
  <c r="J153" i="332"/>
  <c r="J138" i="332"/>
  <c r="J112" i="332"/>
  <c r="J365" i="332"/>
  <c r="J93" i="332"/>
  <c r="J187" i="332"/>
  <c r="O283" i="332"/>
  <c r="O280" i="332"/>
  <c r="O247" i="332"/>
  <c r="O234" i="332"/>
  <c r="O208" i="332"/>
  <c r="O286" i="332"/>
  <c r="O189" i="332"/>
  <c r="O184" i="332"/>
  <c r="O153" i="332"/>
  <c r="O138" i="332"/>
  <c r="O112" i="332"/>
  <c r="O365" i="332"/>
  <c r="O93" i="332"/>
  <c r="O187" i="332"/>
  <c r="M283" i="332"/>
  <c r="M280" i="332"/>
  <c r="M247" i="332"/>
  <c r="M234" i="332"/>
  <c r="M208" i="332"/>
  <c r="M286" i="332"/>
  <c r="M189" i="332"/>
  <c r="M184" i="332"/>
  <c r="M153" i="332"/>
  <c r="M138" i="332"/>
  <c r="M112" i="332"/>
  <c r="M365" i="332"/>
  <c r="M93" i="332"/>
  <c r="M187" i="332"/>
  <c r="K58" i="332"/>
  <c r="AA18" i="332"/>
  <c r="N283" i="332"/>
  <c r="N280" i="332"/>
  <c r="N247" i="332"/>
  <c r="N234" i="332"/>
  <c r="N208" i="332"/>
  <c r="N286" i="332"/>
  <c r="N189" i="332"/>
  <c r="N184" i="332"/>
  <c r="N153" i="332"/>
  <c r="N138" i="332"/>
  <c r="N112" i="332"/>
  <c r="N365" i="332"/>
  <c r="N93" i="332"/>
  <c r="N187" i="332"/>
  <c r="R283" i="332"/>
  <c r="R280" i="332"/>
  <c r="R247" i="332"/>
  <c r="R234" i="332"/>
  <c r="R208" i="332"/>
  <c r="R286" i="332"/>
  <c r="R189" i="332"/>
  <c r="R184" i="332"/>
  <c r="R153" i="332"/>
  <c r="R138" i="332"/>
  <c r="R112" i="332"/>
  <c r="R365" i="332"/>
  <c r="R93" i="332"/>
  <c r="R187" i="332"/>
  <c r="Y283" i="332"/>
  <c r="Y280" i="332"/>
  <c r="Y247" i="332"/>
  <c r="Y234" i="332"/>
  <c r="Y208" i="332"/>
  <c r="Y286" i="332"/>
  <c r="Y189" i="332"/>
  <c r="Y184" i="332"/>
  <c r="Y153" i="332"/>
  <c r="Y138" i="332"/>
  <c r="Y112" i="332"/>
  <c r="Y93" i="332"/>
  <c r="Y187" i="332"/>
  <c r="H283" i="332"/>
  <c r="H280" i="332"/>
  <c r="H247" i="332"/>
  <c r="H234" i="332"/>
  <c r="H208" i="332"/>
  <c r="H286" i="332"/>
  <c r="H189" i="332"/>
  <c r="H184" i="332"/>
  <c r="H153" i="332"/>
  <c r="H138" i="332"/>
  <c r="H112" i="332"/>
  <c r="H365" i="332"/>
  <c r="H93" i="332"/>
  <c r="H187" i="332"/>
  <c r="Q283" i="332"/>
  <c r="Q280" i="332"/>
  <c r="Q247" i="332"/>
  <c r="Q234" i="332"/>
  <c r="Q208" i="332"/>
  <c r="Q286" i="332"/>
  <c r="Q189" i="332"/>
  <c r="Q184" i="332"/>
  <c r="Q153" i="332"/>
  <c r="Q138" i="332"/>
  <c r="Q112" i="332"/>
  <c r="Q365" i="332"/>
  <c r="Q93" i="332"/>
  <c r="Q187" i="332"/>
  <c r="L58" i="332"/>
  <c r="AD18" i="332"/>
  <c r="I283" i="332"/>
  <c r="I280" i="332"/>
  <c r="I247" i="332"/>
  <c r="I234" i="332"/>
  <c r="I208" i="332"/>
  <c r="I286" i="332"/>
  <c r="I189" i="332"/>
  <c r="I184" i="332"/>
  <c r="I153" i="332"/>
  <c r="I138" i="332"/>
  <c r="I112" i="332"/>
  <c r="I93" i="332"/>
  <c r="I187" i="332"/>
  <c r="P283" i="332"/>
  <c r="P280" i="332"/>
  <c r="P247" i="332"/>
  <c r="P234" i="332"/>
  <c r="P208" i="332"/>
  <c r="P286" i="332"/>
  <c r="P189" i="332"/>
  <c r="P184" i="332"/>
  <c r="P153" i="332"/>
  <c r="P138" i="332"/>
  <c r="P112" i="332"/>
  <c r="P365" i="332"/>
  <c r="P93" i="332"/>
  <c r="P187" i="332"/>
  <c r="U283" i="332"/>
  <c r="U280" i="332"/>
  <c r="U247" i="332"/>
  <c r="U234" i="332"/>
  <c r="U208" i="332"/>
  <c r="U286" i="332"/>
  <c r="U189" i="332"/>
  <c r="U184" i="332"/>
  <c r="U153" i="332"/>
  <c r="U138" i="332"/>
  <c r="U112" i="332"/>
  <c r="U365" i="332"/>
  <c r="U93" i="332"/>
  <c r="U187" i="332"/>
  <c r="D16" i="332"/>
  <c r="AA15" i="332" l="1"/>
  <c r="AB15" i="332" s="1"/>
  <c r="AD15" i="332"/>
  <c r="AE15" i="332" s="1"/>
  <c r="U288" i="332"/>
  <c r="U289" i="332" s="1"/>
  <c r="U190" i="332"/>
  <c r="L283" i="332"/>
  <c r="L280" i="332"/>
  <c r="L247" i="332"/>
  <c r="L234" i="332"/>
  <c r="L208" i="332"/>
  <c r="L286" i="332"/>
  <c r="L189" i="332"/>
  <c r="L184" i="332"/>
  <c r="L153" i="332"/>
  <c r="L138" i="332"/>
  <c r="L112" i="332"/>
  <c r="L365" i="332"/>
  <c r="L93" i="332"/>
  <c r="L187" i="332"/>
  <c r="AD58" i="332"/>
  <c r="Y288" i="332"/>
  <c r="Y190" i="332"/>
  <c r="AE18" i="332"/>
  <c r="D18" i="332" s="1"/>
  <c r="P288" i="332"/>
  <c r="P289" i="332" s="1"/>
  <c r="P190" i="332"/>
  <c r="H288" i="332"/>
  <c r="H190" i="332"/>
  <c r="R288" i="332"/>
  <c r="R289" i="332" s="1"/>
  <c r="R190" i="332"/>
  <c r="J288" i="332"/>
  <c r="J190" i="332"/>
  <c r="I288" i="332"/>
  <c r="I190" i="332"/>
  <c r="Q288" i="332"/>
  <c r="Q289" i="332" s="1"/>
  <c r="Q190" i="332"/>
  <c r="N288" i="332"/>
  <c r="N289" i="332" s="1"/>
  <c r="N190" i="332"/>
  <c r="K283" i="332"/>
  <c r="K280" i="332"/>
  <c r="K247" i="332"/>
  <c r="K234" i="332"/>
  <c r="K208" i="332"/>
  <c r="K286" i="332"/>
  <c r="K189" i="332"/>
  <c r="K184" i="332"/>
  <c r="K153" i="332"/>
  <c r="K138" i="332"/>
  <c r="K112" i="332"/>
  <c r="K365" i="332"/>
  <c r="K93" i="332"/>
  <c r="K187" i="332"/>
  <c r="AA58" i="332"/>
  <c r="M288" i="332"/>
  <c r="M190" i="332"/>
  <c r="O288" i="332"/>
  <c r="O289" i="332" s="1"/>
  <c r="O190" i="332"/>
  <c r="AB18" i="332"/>
  <c r="C18" i="332" s="1"/>
  <c r="H369" i="332"/>
  <c r="T369" i="332"/>
  <c r="U369" i="332"/>
  <c r="N369" i="332"/>
  <c r="V369" i="332"/>
  <c r="O369" i="332"/>
  <c r="W369" i="332"/>
  <c r="P369" i="332"/>
  <c r="X369" i="332"/>
  <c r="Q369" i="332"/>
  <c r="R369" i="332"/>
  <c r="S369" i="332"/>
  <c r="I369" i="332"/>
  <c r="Y369" i="332"/>
  <c r="J369" i="332"/>
  <c r="Y30" i="340" l="1"/>
  <c r="X30" i="340"/>
  <c r="W30" i="340"/>
  <c r="V30" i="340"/>
  <c r="U30" i="340"/>
  <c r="T30" i="340"/>
  <c r="S30" i="340"/>
  <c r="R30" i="340"/>
  <c r="K30" i="340"/>
  <c r="I30" i="340"/>
  <c r="J30" i="340"/>
  <c r="O30" i="340"/>
  <c r="P30" i="340"/>
  <c r="Q30" i="340"/>
  <c r="Z30" i="340"/>
  <c r="C15" i="332"/>
  <c r="AA283" i="332"/>
  <c r="AA280" i="332"/>
  <c r="AA247" i="332"/>
  <c r="AA234" i="332"/>
  <c r="AA208" i="332"/>
  <c r="AA286" i="332"/>
  <c r="AA184" i="332"/>
  <c r="AA153" i="332"/>
  <c r="AA138" i="332"/>
  <c r="AA112" i="332"/>
  <c r="AA365" i="332"/>
  <c r="AA93" i="332"/>
  <c r="AA187" i="332"/>
  <c r="AB58" i="332"/>
  <c r="C58" i="332" s="1"/>
  <c r="K288" i="332"/>
  <c r="AA189" i="332"/>
  <c r="K190" i="332"/>
  <c r="H289" i="332"/>
  <c r="L288" i="332"/>
  <c r="L190" i="332"/>
  <c r="AD189" i="332"/>
  <c r="J289" i="332"/>
  <c r="Y289" i="332"/>
  <c r="D15" i="332"/>
  <c r="I289" i="332"/>
  <c r="M289" i="332"/>
  <c r="AD283" i="332"/>
  <c r="AD280" i="332"/>
  <c r="AD247" i="332"/>
  <c r="AD234" i="332"/>
  <c r="AD208" i="332"/>
  <c r="AD286" i="332"/>
  <c r="AD184" i="332"/>
  <c r="AD153" i="332"/>
  <c r="AD138" i="332"/>
  <c r="AD112" i="332"/>
  <c r="AD365" i="332"/>
  <c r="AD93" i="332"/>
  <c r="AD187" i="332"/>
  <c r="AE58" i="332"/>
  <c r="D58" i="332" s="1"/>
  <c r="M369" i="332"/>
  <c r="L369" i="332"/>
  <c r="K369" i="332"/>
  <c r="L30" i="340" l="1"/>
  <c r="M30" i="340"/>
  <c r="N30" i="340"/>
  <c r="AA14" i="332"/>
  <c r="AB14" i="332" s="1"/>
  <c r="AD14" i="332"/>
  <c r="AE14" i="332" s="1"/>
  <c r="K376" i="332"/>
  <c r="R376" i="332" s="1"/>
  <c r="AA288" i="332"/>
  <c r="K289" i="332"/>
  <c r="AD190" i="332"/>
  <c r="AE189" i="332"/>
  <c r="D189" i="332" s="1"/>
  <c r="K378" i="332"/>
  <c r="M378" i="332" s="1"/>
  <c r="N378" i="332" s="1"/>
  <c r="O378" i="332" s="1"/>
  <c r="P378" i="332" s="1"/>
  <c r="Q378" i="332" s="1"/>
  <c r="R378" i="332" s="1"/>
  <c r="S378" i="332" s="1"/>
  <c r="T378" i="332" s="1"/>
  <c r="U378" i="332" s="1"/>
  <c r="V378" i="332" s="1"/>
  <c r="L289" i="332"/>
  <c r="AD288" i="332"/>
  <c r="AA190" i="332"/>
  <c r="AB189" i="332"/>
  <c r="C189" i="332" s="1"/>
  <c r="W378" i="332" l="1"/>
  <c r="M376" i="332"/>
  <c r="L376" i="332"/>
  <c r="C14" i="332"/>
  <c r="Y75" i="332"/>
  <c r="AD289" i="332"/>
  <c r="AE288" i="332"/>
  <c r="W376" i="332"/>
  <c r="S376" i="332"/>
  <c r="O376" i="332"/>
  <c r="T376" i="332"/>
  <c r="P376" i="332"/>
  <c r="U376" i="332"/>
  <c r="Q376" i="332"/>
  <c r="V376" i="332"/>
  <c r="N376" i="332"/>
  <c r="D14" i="332"/>
  <c r="AA289" i="332"/>
  <c r="AB288" i="332"/>
  <c r="C288" i="332" s="1"/>
  <c r="AJ15" i="340" l="1"/>
  <c r="AK15" i="340" s="1"/>
  <c r="D288" i="332"/>
  <c r="U75" i="332"/>
  <c r="R75" i="332"/>
  <c r="Q75" i="332"/>
  <c r="P75" i="332"/>
  <c r="O75" i="332"/>
  <c r="N75" i="332"/>
  <c r="H75" i="332"/>
  <c r="I75" i="332"/>
  <c r="J75" i="332"/>
  <c r="K75" i="332"/>
  <c r="AA13" i="332"/>
  <c r="L75" i="332"/>
  <c r="AD13" i="332"/>
  <c r="M75" i="332"/>
  <c r="AD75" i="332" l="1"/>
  <c r="AE13" i="332"/>
  <c r="D13" i="332" s="1"/>
  <c r="AA75" i="332"/>
  <c r="AB13" i="332"/>
  <c r="C13" i="332" s="1"/>
  <c r="AA12" i="332" l="1"/>
  <c r="AB12" i="332" s="1"/>
  <c r="AD12" i="332"/>
  <c r="AE12" i="332" s="1"/>
  <c r="C12" i="332" l="1"/>
  <c r="Y73" i="332"/>
  <c r="D12" i="332"/>
  <c r="U73" i="332" l="1"/>
  <c r="R73" i="332"/>
  <c r="Q73" i="332"/>
  <c r="P73" i="332"/>
  <c r="O73" i="332"/>
  <c r="N73" i="332"/>
  <c r="H73" i="332"/>
  <c r="I73" i="332"/>
  <c r="J73" i="332"/>
  <c r="K73" i="332"/>
  <c r="AA11" i="332"/>
  <c r="L73" i="332"/>
  <c r="AD11" i="332"/>
  <c r="M73" i="332"/>
  <c r="X10" i="332"/>
  <c r="W10" i="332"/>
  <c r="V10" i="332"/>
  <c r="U10" i="332"/>
  <c r="T10" i="332"/>
  <c r="R10" i="332"/>
  <c r="Q10" i="332"/>
  <c r="P10" i="332"/>
  <c r="O10" i="332"/>
  <c r="N10" i="332"/>
  <c r="M10" i="332"/>
  <c r="AE9" i="332"/>
  <c r="AD9" i="332"/>
  <c r="AB9" i="332"/>
  <c r="AA9" i="332"/>
  <c r="L9" i="332"/>
  <c r="K9" i="332"/>
  <c r="J9" i="332"/>
  <c r="I9" i="332"/>
  <c r="H9" i="332"/>
  <c r="L6" i="332"/>
  <c r="K6" i="332"/>
  <c r="J6" i="332"/>
  <c r="I6" i="332"/>
  <c r="Y5" i="332"/>
  <c r="X5" i="332"/>
  <c r="W5" i="332"/>
  <c r="V5" i="332"/>
  <c r="U5" i="332"/>
  <c r="T5" i="332"/>
  <c r="R5" i="332"/>
  <c r="Q5" i="332"/>
  <c r="P5" i="332"/>
  <c r="O5" i="332"/>
  <c r="N5" i="332"/>
  <c r="M5" i="332"/>
  <c r="Y4" i="332"/>
  <c r="X4" i="332"/>
  <c r="W4" i="332"/>
  <c r="V4" i="332"/>
  <c r="U4" i="332"/>
  <c r="T4" i="332"/>
  <c r="R4" i="332"/>
  <c r="Q4" i="332"/>
  <c r="P4" i="332"/>
  <c r="O4" i="332"/>
  <c r="N4" i="332"/>
  <c r="M4" i="332"/>
  <c r="L4" i="332"/>
  <c r="K4" i="332"/>
  <c r="J4" i="332"/>
  <c r="I4" i="332"/>
  <c r="H4" i="332"/>
  <c r="Y3" i="332"/>
  <c r="X3" i="332"/>
  <c r="W3" i="332"/>
  <c r="V3" i="332"/>
  <c r="U3" i="332"/>
  <c r="T3" i="332"/>
  <c r="R3" i="332"/>
  <c r="Q3" i="332"/>
  <c r="P3" i="332"/>
  <c r="O3" i="332"/>
  <c r="N3" i="332"/>
  <c r="M3" i="332"/>
  <c r="L3" i="332"/>
  <c r="K3" i="332"/>
  <c r="J3" i="332"/>
  <c r="I3" i="332"/>
  <c r="H3" i="332"/>
  <c r="A3" i="332"/>
  <c r="X2" i="332"/>
  <c r="W2" i="332"/>
  <c r="V2" i="332"/>
  <c r="U2" i="332"/>
  <c r="T2" i="332"/>
  <c r="R2" i="332"/>
  <c r="Q2" i="332"/>
  <c r="P2" i="332"/>
  <c r="O2" i="332"/>
  <c r="N2" i="332"/>
  <c r="M2" i="332"/>
  <c r="L2" i="332"/>
  <c r="K2" i="332"/>
  <c r="J2" i="332"/>
  <c r="I2" i="332"/>
  <c r="H2" i="332"/>
  <c r="Y1" i="332"/>
  <c r="I1" i="332"/>
  <c r="Y337" i="332"/>
  <c r="Y354" i="332"/>
  <c r="Y338" i="332"/>
  <c r="Y355" i="332"/>
  <c r="Y350" i="332"/>
  <c r="Y351" i="332"/>
  <c r="AD73" i="332" l="1"/>
  <c r="AE11" i="332"/>
  <c r="I359" i="332"/>
  <c r="I360" i="332" s="1"/>
  <c r="I339" i="332"/>
  <c r="AA73" i="332"/>
  <c r="AB11" i="332"/>
  <c r="C11" i="332" s="1"/>
  <c r="D11" i="332"/>
  <c r="Y356" i="332" l="1"/>
  <c r="D338" i="332"/>
  <c r="C338" i="332"/>
  <c r="D337" i="332"/>
  <c r="Y339" i="332"/>
  <c r="D339" i="332" s="1"/>
  <c r="C337" i="332"/>
  <c r="AB350" i="332"/>
  <c r="Y352" i="332"/>
  <c r="AE350" i="332"/>
  <c r="AB351" i="332"/>
  <c r="AE351" i="332"/>
  <c r="Y359" i="332" l="1"/>
  <c r="Y360" i="332" s="1"/>
  <c r="AB360" i="332" s="1"/>
  <c r="C360" i="332" s="1"/>
  <c r="Y353" i="332"/>
  <c r="AB352" i="332"/>
  <c r="C352" i="332" s="1"/>
  <c r="D352" i="332"/>
  <c r="AE352" i="332"/>
  <c r="C339" i="332"/>
  <c r="Y349" i="332"/>
  <c r="AE360" i="332" l="1"/>
  <c r="D360" i="332" s="1"/>
  <c r="Y29" i="340" l="1"/>
  <c r="X29" i="340"/>
  <c r="W29" i="340"/>
  <c r="V29" i="340"/>
  <c r="U29" i="340"/>
  <c r="T29" i="340"/>
  <c r="S29" i="340"/>
  <c r="R29" i="340"/>
  <c r="K29" i="340"/>
  <c r="I29" i="340"/>
  <c r="O29" i="340"/>
  <c r="Q29" i="340"/>
  <c r="Z29" i="340"/>
  <c r="J29" i="340"/>
  <c r="P29" i="340"/>
  <c r="N29" i="340" l="1"/>
  <c r="M29" i="340"/>
  <c r="L29" i="340" l="1"/>
  <c r="AJ14" i="340" l="1"/>
  <c r="AK14" i="340" s="1"/>
  <c r="Y26" i="340" l="1"/>
  <c r="X26" i="340"/>
  <c r="W26" i="340"/>
  <c r="V26" i="340"/>
  <c r="U26" i="340"/>
  <c r="T26" i="340"/>
  <c r="S26" i="340"/>
  <c r="R26" i="340"/>
  <c r="I26" i="340"/>
  <c r="K26" i="340"/>
  <c r="J26" i="340"/>
  <c r="Q26" i="340"/>
  <c r="O26" i="340"/>
  <c r="P26" i="340"/>
  <c r="Z26" i="340"/>
  <c r="N26" i="340" l="1"/>
  <c r="L26" i="340" l="1"/>
  <c r="M26" i="340" l="1"/>
  <c r="AJ11" i="340" l="1"/>
  <c r="AK11" i="340" s="1"/>
  <c r="Y27" i="340" l="1"/>
  <c r="X27" i="340"/>
  <c r="W27" i="340"/>
  <c r="V27" i="340"/>
  <c r="U27" i="340"/>
  <c r="T27" i="340"/>
  <c r="S27" i="340"/>
  <c r="R27" i="340"/>
  <c r="Q27" i="340"/>
  <c r="K27" i="340"/>
  <c r="Z27" i="340"/>
  <c r="L27" i="340"/>
  <c r="I27" i="340"/>
  <c r="P27" i="340"/>
  <c r="O27" i="340"/>
  <c r="J27" i="340"/>
  <c r="N27" i="340" l="1"/>
  <c r="M27" i="340"/>
  <c r="AJ12" i="340" l="1"/>
  <c r="AK12" i="340" s="1"/>
  <c r="Y28" i="340" l="1"/>
  <c r="X28" i="340"/>
  <c r="W28" i="340"/>
  <c r="V28" i="340"/>
  <c r="U28" i="340"/>
  <c r="T28" i="340"/>
  <c r="S28" i="340"/>
  <c r="R28" i="340"/>
  <c r="K28" i="340"/>
  <c r="L28" i="340"/>
  <c r="I28" i="340"/>
  <c r="J28" i="340"/>
  <c r="O28" i="340"/>
  <c r="Z28" i="340"/>
  <c r="P28" i="340"/>
  <c r="Q28" i="340"/>
  <c r="N28" i="340" l="1"/>
  <c r="M28" i="340"/>
  <c r="AJ13" i="340" l="1"/>
  <c r="AK13" i="340" s="1"/>
  <c r="Y31" i="340" l="1"/>
  <c r="X31" i="340"/>
  <c r="W31" i="340"/>
  <c r="V31" i="340"/>
  <c r="U31" i="340"/>
  <c r="T31" i="340"/>
  <c r="S31" i="340"/>
  <c r="R31" i="340"/>
  <c r="I31" i="340"/>
  <c r="L31" i="340"/>
  <c r="K31" i="340"/>
  <c r="J31" i="340"/>
  <c r="Q31" i="340"/>
  <c r="Z31" i="340"/>
  <c r="P31" i="340"/>
  <c r="O31" i="340"/>
  <c r="N31" i="340" l="1"/>
  <c r="M31" i="340"/>
  <c r="AJ16" i="340" l="1"/>
  <c r="AK16" i="340" s="1"/>
  <c r="AK22" i="340" l="1"/>
  <c r="AJ24" i="340"/>
  <c r="AJ22" i="340"/>
  <c r="AK24" i="340"/>
  <c r="K5" i="340" l="1"/>
  <c r="I5" i="340"/>
  <c r="B4" i="340"/>
  <c r="F374" i="332"/>
  <c r="H10" i="332"/>
  <c r="A4" i="332"/>
  <c r="H5" i="332"/>
  <c r="F375" i="332"/>
  <c r="J10" i="332"/>
  <c r="J5" i="332"/>
  <c r="N374" i="332"/>
  <c r="V374" i="332"/>
  <c r="O374" i="332"/>
  <c r="W374" i="332"/>
  <c r="P374" i="332"/>
  <c r="Q374" i="332"/>
  <c r="R374" i="332"/>
  <c r="S374" i="332"/>
  <c r="L374" i="332"/>
  <c r="T374" i="332"/>
  <c r="M374" i="332"/>
  <c r="U374" i="332"/>
  <c r="R375" i="332"/>
  <c r="S375" i="332"/>
  <c r="L375" i="332"/>
  <c r="T375" i="332"/>
  <c r="M375" i="332"/>
  <c r="U375" i="332"/>
  <c r="N375" i="332"/>
  <c r="V375" i="332"/>
  <c r="O375" i="332"/>
  <c r="W375" i="332"/>
  <c r="P375" i="332"/>
  <c r="Q375" i="332"/>
  <c r="F378" i="332" l="1"/>
  <c r="L10" i="332"/>
  <c r="L5" i="332"/>
  <c r="F376" i="332"/>
  <c r="K5" i="332"/>
  <c r="K10" i="332"/>
  <c r="J5" i="340" l="1"/>
  <c r="I236" i="332"/>
  <c r="Y236" i="332"/>
  <c r="Y205" i="332"/>
  <c r="I205" i="332"/>
  <c r="Y140" i="332"/>
  <c r="I140" i="332"/>
  <c r="Y109" i="332"/>
  <c r="I109" i="332"/>
  <c r="I5" i="332"/>
  <c r="I10" i="332"/>
  <c r="I362" i="332" l="1"/>
  <c r="I211" i="332"/>
  <c r="I367" i="332"/>
  <c r="I363" i="332"/>
  <c r="I115" i="332"/>
  <c r="I365" i="332"/>
  <c r="AE140" i="332"/>
  <c r="AB140" i="332"/>
  <c r="AB236" i="332"/>
  <c r="AE236" i="332"/>
  <c r="AE109" i="332"/>
  <c r="AB109" i="332"/>
  <c r="Y362" i="332"/>
  <c r="Y365" i="332"/>
  <c r="AE205" i="332"/>
  <c r="AB205" i="332"/>
  <c r="Y367" i="332"/>
  <c r="I101" i="332" l="1"/>
  <c r="I102" i="332" s="1"/>
  <c r="I197" i="332"/>
  <c r="I198" i="332" s="1"/>
</calcChain>
</file>

<file path=xl/sharedStrings.xml><?xml version="1.0" encoding="utf-8"?>
<sst xmlns="http://schemas.openxmlformats.org/spreadsheetml/2006/main" count="8986" uniqueCount="492">
  <si>
    <t>Prov. Pénalités et Avoirs</t>
  </si>
  <si>
    <t>REEL</t>
  </si>
  <si>
    <t>AC sum AC01</t>
  </si>
  <si>
    <t>AU sum [All values]</t>
  </si>
  <si>
    <t>SOCIETE sum LISTE001</t>
  </si>
  <si>
    <t>01</t>
  </si>
  <si>
    <t>02</t>
  </si>
  <si>
    <t>03</t>
  </si>
  <si>
    <t>04</t>
  </si>
  <si>
    <t>05</t>
  </si>
  <si>
    <t>06</t>
  </si>
  <si>
    <t>08</t>
  </si>
  <si>
    <t>09</t>
  </si>
  <si>
    <t>10</t>
  </si>
  <si>
    <t>11</t>
  </si>
  <si>
    <t>12</t>
  </si>
  <si>
    <t>AC sum AC05</t>
  </si>
  <si>
    <t>METIER sum METS.</t>
  </si>
  <si>
    <t>METIER sum METS.-STR</t>
  </si>
  <si>
    <t>AC sum AC11</t>
  </si>
  <si>
    <t>AC = 060501</t>
  </si>
  <si>
    <t>AC = 040105</t>
  </si>
  <si>
    <t>METIER sum METS.STRAG</t>
  </si>
  <si>
    <t>MARGE AGENCE</t>
  </si>
  <si>
    <t>Prov. Avancement visites</t>
  </si>
  <si>
    <t>METIER sum METS.OP+STAG</t>
  </si>
  <si>
    <t>Divers</t>
  </si>
  <si>
    <t>(a)</t>
  </si>
  <si>
    <t>(c)</t>
  </si>
  <si>
    <t>(d)</t>
  </si>
  <si>
    <t>AC sum ACEBIT</t>
  </si>
  <si>
    <t>METIER sum METS.I</t>
  </si>
  <si>
    <t>(e)</t>
  </si>
  <si>
    <t>(f)</t>
  </si>
  <si>
    <t>AC sum AC0608</t>
  </si>
  <si>
    <t>AC = 060402</t>
  </si>
  <si>
    <t>AC = QT060000</t>
  </si>
  <si>
    <t>% Absences</t>
  </si>
  <si>
    <t>METIER sum METS.CC</t>
  </si>
  <si>
    <t>AC = 050111</t>
  </si>
  <si>
    <t>Achats Eau GPL</t>
  </si>
  <si>
    <t>Fournitures Contrats Collectifs</t>
  </si>
  <si>
    <t>AC sum AC0502</t>
  </si>
  <si>
    <t>AC=CONSOT2</t>
  </si>
  <si>
    <t>Conso 2ème quinzaine décembre</t>
  </si>
  <si>
    <t>Conso 2ème quinzaine décembre-1</t>
  </si>
  <si>
    <t>AC=050107</t>
  </si>
  <si>
    <t>Achat fournitures-complément sur Adonix</t>
  </si>
  <si>
    <t>Impact Cut Adonix N/N-1</t>
  </si>
  <si>
    <t>AC = 050103</t>
  </si>
  <si>
    <t>AC = 050106</t>
  </si>
  <si>
    <t>BFA - Ristourne</t>
  </si>
  <si>
    <t>Achats Manuel</t>
  </si>
  <si>
    <t>AC=050105</t>
  </si>
  <si>
    <t>AC=050108</t>
  </si>
  <si>
    <t>Refact. Fournitures Stock</t>
  </si>
  <si>
    <t>Prorata Charges Chantiers</t>
  </si>
  <si>
    <t>Refacturations</t>
  </si>
  <si>
    <t>Autres Conso (Ecarts Inventaires, etc…)</t>
  </si>
  <si>
    <t>METIER = OPSTR</t>
  </si>
  <si>
    <t>METIER = OPMAG</t>
  </si>
  <si>
    <t>METIER sum METS.-STR2-A</t>
  </si>
  <si>
    <t>METIER = APP</t>
  </si>
  <si>
    <t>AC = 071101</t>
  </si>
  <si>
    <t>AC = 070401</t>
  </si>
  <si>
    <t>TOTAL VEHICULES</t>
  </si>
  <si>
    <t>Salaires</t>
  </si>
  <si>
    <t>Autres Charges Salariales</t>
  </si>
  <si>
    <t>Intérim</t>
  </si>
  <si>
    <t>Coûts Autres</t>
  </si>
  <si>
    <t>AC = QT070000</t>
  </si>
  <si>
    <t>Coût Moyen</t>
  </si>
  <si>
    <t>Eau, gaz, electricite</t>
  </si>
  <si>
    <t>AC = 090101</t>
  </si>
  <si>
    <t>AC = 092001</t>
  </si>
  <si>
    <t>AC = 091501</t>
  </si>
  <si>
    <t>Location Info Bureau</t>
  </si>
  <si>
    <t>Frais Postaux</t>
  </si>
  <si>
    <t>AC = 091301</t>
  </si>
  <si>
    <t>AC = 080101</t>
  </si>
  <si>
    <t>AC = 080201</t>
  </si>
  <si>
    <t>AC = 080301</t>
  </si>
  <si>
    <t>AC = 080801</t>
  </si>
  <si>
    <t>Sous-Traitance</t>
  </si>
  <si>
    <t>Imprimés Techniques</t>
  </si>
  <si>
    <t>Petit Matériel &amp; Outillage</t>
  </si>
  <si>
    <t>Fournitures Hygiène Sécurité</t>
  </si>
  <si>
    <t>TOTAL FRAIS GENERAUX</t>
  </si>
  <si>
    <t>AC = 090601</t>
  </si>
  <si>
    <t>AC = 091201</t>
  </si>
  <si>
    <t>AC = 091701</t>
  </si>
  <si>
    <t>AC = 091901</t>
  </si>
  <si>
    <t>AC = 092601</t>
  </si>
  <si>
    <t>Documentation</t>
  </si>
  <si>
    <t>Location Info, bureau…</t>
  </si>
  <si>
    <t>Entretien et réparation</t>
  </si>
  <si>
    <t>Voyages et déplacement</t>
  </si>
  <si>
    <t>Téléphone</t>
  </si>
  <si>
    <t>Amortissement (hors véhic, compt)</t>
  </si>
  <si>
    <t>Ecart</t>
  </si>
  <si>
    <t>AC = QTZPTF</t>
  </si>
  <si>
    <t>AC = QT010203</t>
  </si>
  <si>
    <t>METIER sum METS.IC</t>
  </si>
  <si>
    <t>PTF Réel</t>
  </si>
  <si>
    <t>PTF Budget</t>
  </si>
  <si>
    <t>Nombre de Contrats Individuels</t>
  </si>
  <si>
    <t>AC = QTZGAINS</t>
  </si>
  <si>
    <t>AC = QTZPERTES</t>
  </si>
  <si>
    <t>Gains</t>
  </si>
  <si>
    <t>Pertes</t>
  </si>
  <si>
    <t>Autres Cas</t>
  </si>
  <si>
    <t>Solde Gains/Pertes/Autres Cas</t>
  </si>
  <si>
    <t>AC = TTECHCTR</t>
  </si>
  <si>
    <t>Échéances Contrats</t>
  </si>
  <si>
    <t>% Échéances / PTF</t>
  </si>
  <si>
    <t>METIER sum METS.IT.DEC</t>
  </si>
  <si>
    <t>METIER sum METS.IT.DEH</t>
  </si>
  <si>
    <t>METIER sum METS.IT.TCD</t>
  </si>
  <si>
    <t>TOTAL FOURNITURES</t>
  </si>
  <si>
    <t>AC = 040106</t>
  </si>
  <si>
    <t>AC = 040107</t>
  </si>
  <si>
    <t>Provisions Pénalités</t>
  </si>
  <si>
    <t>Avoirs Clients</t>
  </si>
  <si>
    <t>AC = 080501</t>
  </si>
  <si>
    <t>AC = 080601</t>
  </si>
  <si>
    <t>AC = 094701</t>
  </si>
  <si>
    <t>Maintenance Informatique</t>
  </si>
  <si>
    <t>AC = 091801</t>
  </si>
  <si>
    <t>Déménagement</t>
  </si>
  <si>
    <t>AC = 090201</t>
  </si>
  <si>
    <t>AC = 090901</t>
  </si>
  <si>
    <t>AC = 040101</t>
  </si>
  <si>
    <t>Refacturations diverses</t>
  </si>
  <si>
    <t>Production Immobilisée</t>
  </si>
  <si>
    <t>AC = 040102</t>
  </si>
  <si>
    <t>AC = 040103</t>
  </si>
  <si>
    <t>Subvention Reçue</t>
  </si>
  <si>
    <t>AC = 040104</t>
  </si>
  <si>
    <t>Prestation de Service</t>
  </si>
  <si>
    <t>Dégats des eaux, Sinistres</t>
  </si>
  <si>
    <t>AC = 080401</t>
  </si>
  <si>
    <t>Crédits Bail Compteurs</t>
  </si>
  <si>
    <t>Amortissements Compteurs</t>
  </si>
  <si>
    <t>Transfert de Charges Compteurs</t>
  </si>
  <si>
    <t>AC = 080901</t>
  </si>
  <si>
    <t>Refacturations Autres Coûts</t>
  </si>
  <si>
    <t>AC = 070101</t>
  </si>
  <si>
    <t>Assurance / Franchise</t>
  </si>
  <si>
    <t>AC = 070201</t>
  </si>
  <si>
    <t>Location Court Terme</t>
  </si>
  <si>
    <t>AC = 070301</t>
  </si>
  <si>
    <t>Entretien</t>
  </si>
  <si>
    <t>AC = 070501</t>
  </si>
  <si>
    <t>Vignettes</t>
  </si>
  <si>
    <t>AC = 070701</t>
  </si>
  <si>
    <t>Remise en Etat</t>
  </si>
  <si>
    <t>AC = 070801</t>
  </si>
  <si>
    <t>Coûts Restitution</t>
  </si>
  <si>
    <t>AC = 070901</t>
  </si>
  <si>
    <t>Péages</t>
  </si>
  <si>
    <t>AC = 071001</t>
  </si>
  <si>
    <t>Remboursement Sinistre</t>
  </si>
  <si>
    <t>AC = 071301</t>
  </si>
  <si>
    <t>TVTS</t>
  </si>
  <si>
    <t>AC = 071401</t>
  </si>
  <si>
    <t>Refacturations Charges</t>
  </si>
  <si>
    <t>AC = 071601</t>
  </si>
  <si>
    <t>Refacturations Produits</t>
  </si>
  <si>
    <t>AC = 071701</t>
  </si>
  <si>
    <t>Entretien Contractuel</t>
  </si>
  <si>
    <t>AC = 071801</t>
  </si>
  <si>
    <t>Pneu</t>
  </si>
  <si>
    <t>AC = 090301</t>
  </si>
  <si>
    <t>Etudes et Recherches</t>
  </si>
  <si>
    <t>AC = 090701</t>
  </si>
  <si>
    <t>Frais divers, Cotis. Syndicales</t>
  </si>
  <si>
    <t>Honoraires, Commissions</t>
  </si>
  <si>
    <t>AC = 091001</t>
  </si>
  <si>
    <t>Publicité</t>
  </si>
  <si>
    <t>AC = 091101</t>
  </si>
  <si>
    <t>Cadeaux</t>
  </si>
  <si>
    <t>AC = 091601</t>
  </si>
  <si>
    <t>Location Immeubles</t>
  </si>
  <si>
    <t>Provision Dépannage</t>
  </si>
  <si>
    <t>Refacturations Frais Généraux</t>
  </si>
  <si>
    <t>AC = 093201</t>
  </si>
  <si>
    <t>Exploitation diverses</t>
  </si>
  <si>
    <t>Transport sur Achats</t>
  </si>
  <si>
    <t>Autres Frais Généraux</t>
  </si>
  <si>
    <t>Autres Coûts Véhicules</t>
  </si>
  <si>
    <t>Fournitures de Bureau</t>
  </si>
  <si>
    <t>AC = 090801</t>
  </si>
  <si>
    <t>Congrés, Formation, Stages</t>
  </si>
  <si>
    <t>AC = 091401</t>
  </si>
  <si>
    <t>Assurances hors véhicules</t>
  </si>
  <si>
    <t>AC = 092401</t>
  </si>
  <si>
    <t>Frais de recrutement</t>
  </si>
  <si>
    <t>AC = 092501</t>
  </si>
  <si>
    <t>Impôts &amp; Taxes</t>
  </si>
  <si>
    <t>AC sum AC093133</t>
  </si>
  <si>
    <t>AC sum AC0927282</t>
  </si>
  <si>
    <t>LLD</t>
  </si>
  <si>
    <t>Carburant</t>
  </si>
  <si>
    <t>METIER sum METS.C</t>
  </si>
  <si>
    <t>AC sum AC0807</t>
  </si>
  <si>
    <t>METIER sum METS.CT+IT9</t>
  </si>
  <si>
    <t>AC sum CONSOT+TT05</t>
  </si>
  <si>
    <t>Provisions  P3R</t>
  </si>
  <si>
    <t>Consommations Adonix Travaux</t>
  </si>
  <si>
    <t>AC = VTESCOMPT</t>
  </si>
  <si>
    <t>Sorties Adonix Ventes au comptoir</t>
  </si>
  <si>
    <t>AC = QTEFFECTIF</t>
  </si>
  <si>
    <t>EFFECTIF (Présence+Absences Rémunérées)</t>
  </si>
  <si>
    <t>AC = 050112</t>
  </si>
  <si>
    <t>AC = 050113</t>
  </si>
  <si>
    <t>Ecotaxe</t>
  </si>
  <si>
    <t>Proxi-Rénov (Colibri)</t>
  </si>
  <si>
    <t>TOTAL CA CONTRATS</t>
  </si>
  <si>
    <t>AC sum AC06031</t>
  </si>
  <si>
    <t>Congés Payés &amp; CP non pris</t>
  </si>
  <si>
    <t>AC sum AC06052</t>
  </si>
  <si>
    <t>AC sum AC0614</t>
  </si>
  <si>
    <t>% / (CA Travaux+Prod.Centralisées)</t>
  </si>
  <si>
    <t>% / (CA+Prod.Centralisées)</t>
  </si>
  <si>
    <t>Onglet</t>
  </si>
  <si>
    <t>Nbre de véhicules Exploitation</t>
  </si>
  <si>
    <t>Nbre de véhicules Administratif</t>
  </si>
  <si>
    <t>% / (CA Contrats Collectif hors GEG)</t>
  </si>
  <si>
    <t>% / (CA GEG)</t>
  </si>
  <si>
    <t>METIER sum METS.CC.PLBG</t>
  </si>
  <si>
    <t>METIER sum METS.CC.CHF</t>
  </si>
  <si>
    <t>METIER sum METS.CC.CPT</t>
  </si>
  <si>
    <t>METIER sum METS.CC.MUL</t>
  </si>
  <si>
    <t>METIER sum METS.CC.ERO2</t>
  </si>
  <si>
    <t>TOTAL CA + Prod Centralisées</t>
  </si>
  <si>
    <t>ETP Chefs d'équipe</t>
  </si>
  <si>
    <t>ETP Magasiniers</t>
  </si>
  <si>
    <t>ETP Techniciens</t>
  </si>
  <si>
    <t>ETP Apprentis</t>
  </si>
  <si>
    <t>ETP EFFECTIF Exploitation (Présence)</t>
  </si>
  <si>
    <t>ETP EFFECTIF Exploitation (Absences Rémunérées)</t>
  </si>
  <si>
    <t>Equivalent EFFECTIF Exploitation Intérim (ratio 38K€)</t>
  </si>
  <si>
    <t>Equivalent EFFECTIF Exploitation Sous-traitance (ratio 50K€)</t>
  </si>
  <si>
    <t>METIER = STRAG</t>
  </si>
  <si>
    <t>METIER = STREXP</t>
  </si>
  <si>
    <t>METIER sum METS.STRAG4</t>
  </si>
  <si>
    <t>ETP Chef Agence</t>
  </si>
  <si>
    <t>ETP Responsable Exploitation</t>
  </si>
  <si>
    <t>ETP Secrétaire/Assitant(e) Agence</t>
  </si>
  <si>
    <t>Equivalent EFFECTIF Exploitation Sous-traitance (ratio 35K€)</t>
  </si>
  <si>
    <t>ETP EFFECTIF Agence (Présence)</t>
  </si>
  <si>
    <t>ETP EFFECTIF Agence (Absences Rémunérées)</t>
  </si>
  <si>
    <t>Equivalent EFFECTIF Agence Intérim (ratio 38K€)</t>
  </si>
  <si>
    <t>Contrôle de l'Ebit =&gt; doit être à 0</t>
  </si>
  <si>
    <t>Nombre de Techniciens par Secrétaire</t>
  </si>
  <si>
    <t>Résultat Exceptionnel</t>
  </si>
  <si>
    <t>AC = 093001</t>
  </si>
  <si>
    <t>AC sum AC0903</t>
  </si>
  <si>
    <t>Provisions Clients</t>
  </si>
  <si>
    <t>Pertes Créances Irrécouvrables</t>
  </si>
  <si>
    <t>Provisions autres</t>
  </si>
  <si>
    <t>AC = 092101</t>
  </si>
  <si>
    <t>Frais bancaire</t>
  </si>
  <si>
    <t>AC = 092301</t>
  </si>
  <si>
    <t>Frais appel d'offres</t>
  </si>
  <si>
    <t>AC = 080602</t>
  </si>
  <si>
    <t>Dotation frais de pose compteurs</t>
  </si>
  <si>
    <t>Impôts et taxes</t>
  </si>
  <si>
    <t>Assurance hors véhicules</t>
  </si>
  <si>
    <t>AC = 070601</t>
  </si>
  <si>
    <t>AC = 071201</t>
  </si>
  <si>
    <t>Amortissement Vehicule</t>
  </si>
  <si>
    <t>Amenag.</t>
  </si>
  <si>
    <t>Frais d'appel d'offres</t>
  </si>
  <si>
    <t>Divers Recettes</t>
  </si>
  <si>
    <t>TOTAL SALAIRES</t>
  </si>
  <si>
    <t>TOTAL AUTRES COUTS</t>
  </si>
  <si>
    <t>DEPENSES D'EXPLOITATION</t>
  </si>
  <si>
    <t>MARGE BRUTE</t>
  </si>
  <si>
    <t>DEPENSES AGENCE</t>
  </si>
  <si>
    <t>CA Chauffage</t>
  </si>
  <si>
    <t>CA Robinetterie (Hors GEG)</t>
  </si>
  <si>
    <t>CA Gérance d'Eau</t>
  </si>
  <si>
    <t>CA Multi</t>
  </si>
  <si>
    <t>CA Comptage</t>
  </si>
  <si>
    <t>CA Contrats Collectif</t>
  </si>
  <si>
    <t>CA Contrats Individuel</t>
  </si>
  <si>
    <t>AC = QTSTOFOURN</t>
  </si>
  <si>
    <t>Stock Fournitures Techniques</t>
  </si>
  <si>
    <t>Nombre de mois de stock</t>
  </si>
  <si>
    <t>Conso Adonix Cumulé</t>
  </si>
  <si>
    <t>AC sum CONSOT+COM+T</t>
  </si>
  <si>
    <t>AC sum QTZCHAUD</t>
  </si>
  <si>
    <t>AC = QTZCHAUD1CO</t>
  </si>
  <si>
    <t>AC = QTZCHAUD2BT</t>
  </si>
  <si>
    <t>AC = QTZCHAUD3SG</t>
  </si>
  <si>
    <t>AC = QTZCHAUD4SF</t>
  </si>
  <si>
    <t>AC = QTZCHAUD5AUC</t>
  </si>
  <si>
    <t>AC sum AC02+NET</t>
  </si>
  <si>
    <t>AC sum AC02-03-ENR</t>
  </si>
  <si>
    <t>AC  = 040403</t>
  </si>
  <si>
    <t>AC  sum AC02</t>
  </si>
  <si>
    <t>METIER = ZCD</t>
  </si>
  <si>
    <t>AC  = 040108</t>
  </si>
  <si>
    <t>METIER = ZLI</t>
  </si>
  <si>
    <t>AC  = 040109</t>
  </si>
  <si>
    <t>AC  = 040401</t>
  </si>
  <si>
    <t>METIER = ZNE</t>
  </si>
  <si>
    <t>METIER = ZCW</t>
  </si>
  <si>
    <t>AC  = 040404</t>
  </si>
  <si>
    <t>AC sum AC02</t>
  </si>
  <si>
    <t>AC = 040402</t>
  </si>
  <si>
    <t>Ventes au comptoir</t>
  </si>
  <si>
    <t>AC sum AC03</t>
  </si>
  <si>
    <t>Fournitures Travaux &amp; Ventes</t>
  </si>
  <si>
    <t>Période</t>
  </si>
  <si>
    <t>Mars</t>
  </si>
  <si>
    <t>Avril</t>
  </si>
  <si>
    <t>Mai</t>
  </si>
  <si>
    <t>Juin</t>
  </si>
  <si>
    <t>Aôut</t>
  </si>
  <si>
    <t>07</t>
  </si>
  <si>
    <t>CA Easy-Chaudière</t>
  </si>
  <si>
    <t>CA Easy-Ballon</t>
  </si>
  <si>
    <t>CA Easy-Radiateur</t>
  </si>
  <si>
    <t>CA Nest</t>
  </si>
  <si>
    <t>Travaux Collectif</t>
  </si>
  <si>
    <t>Tvx Individuel: Dépannages Sous Contrat</t>
  </si>
  <si>
    <t>Tvx Individuel: Dépannages Hors Contrat</t>
  </si>
  <si>
    <t>Total CA Travaux Chaudières (Ag. + Easy)</t>
  </si>
  <si>
    <t>METIER =TCW</t>
  </si>
  <si>
    <t>Tvx Individuel: Travaux Radiateurs</t>
  </si>
  <si>
    <t>METIER =TCI</t>
  </si>
  <si>
    <t>Tvx Individuel: Autres Chauffage</t>
  </si>
  <si>
    <t>METIER =TQI</t>
  </si>
  <si>
    <t>METIER =TPI</t>
  </si>
  <si>
    <t>Tvx Individuel: Travaux Plomberie</t>
  </si>
  <si>
    <t>METIER =TLI</t>
  </si>
  <si>
    <t>Tvx Individuel: Travaux ECS Electriques</t>
  </si>
  <si>
    <t>METIER =TEI</t>
  </si>
  <si>
    <t>Tvx Individuel: Travaux ENR</t>
  </si>
  <si>
    <t>METIER =TFI</t>
  </si>
  <si>
    <t>Tvx Individuel: Travaux DAAF</t>
  </si>
  <si>
    <t>Tvx Individuel: Autres Métiers</t>
  </si>
  <si>
    <t>CA Easy-Chaudière Centralisée</t>
  </si>
  <si>
    <t>CA Easy-Chaudière Agence</t>
  </si>
  <si>
    <t>Easy-Ballon Centralisée</t>
  </si>
  <si>
    <t>Easy-Ballon Agence</t>
  </si>
  <si>
    <t>CA Easy-Radiateur Centralisée</t>
  </si>
  <si>
    <t>CA Easy-Radiateur Agence</t>
  </si>
  <si>
    <t>CA Nest Centralisée</t>
  </si>
  <si>
    <t>CA Nest Agence</t>
  </si>
  <si>
    <t>METIER =ZQI</t>
  </si>
  <si>
    <t>CA Bornes Partenariat Centralisée</t>
  </si>
  <si>
    <t>CA Bornes Partenariat Agence</t>
  </si>
  <si>
    <t>CA Bornes Electriques (fact. Agence)</t>
  </si>
  <si>
    <t>CA par Techniciens (dont Intérim &amp; S-T)</t>
  </si>
  <si>
    <t>Nbre chaudières sorties - Condensation</t>
  </si>
  <si>
    <t>Nbre chaudières sorties - Basse Temp.</t>
  </si>
  <si>
    <t>Nbre chaudières sorties - Sol Gaz</t>
  </si>
  <si>
    <t>Nbre chaudières sorties - Sol Fioul</t>
  </si>
  <si>
    <t>Nbre chaudières sorties - Autres</t>
  </si>
  <si>
    <t>Nbre chaudières sorties Adonix</t>
  </si>
  <si>
    <t>CA Bornes Electriques</t>
  </si>
  <si>
    <t>Fév.</t>
  </si>
  <si>
    <t>Juil.</t>
  </si>
  <si>
    <t>Sept.</t>
  </si>
  <si>
    <t>Oct.</t>
  </si>
  <si>
    <t>Nov.</t>
  </si>
  <si>
    <t>Déc.</t>
  </si>
  <si>
    <t>Nombre de Tech. moyen par Chef Equipe</t>
  </si>
  <si>
    <t>Nombre de Tech. moyen par Magasinier</t>
  </si>
  <si>
    <t>Tvx Individuel: Chaudières Agence</t>
  </si>
  <si>
    <t>Tvx Ind. Activités Traditionnelles</t>
  </si>
  <si>
    <t>CA Mise en service RT2012</t>
  </si>
  <si>
    <t>Tvx Activités Centralisées</t>
  </si>
  <si>
    <t>TOTAL Travaux+Central.+Ventes</t>
  </si>
  <si>
    <t>Consommations Adonix Contrats Coll.</t>
  </si>
  <si>
    <t>Remises en Etat / Restit. / Rbt Sinistres</t>
  </si>
  <si>
    <t>Rbt. Sécu/AG2R/Formation</t>
  </si>
  <si>
    <t>BUDGET</t>
  </si>
  <si>
    <t xml:space="preserve"> </t>
  </si>
  <si>
    <t>Secteur Rob.Public</t>
  </si>
  <si>
    <t>Buc</t>
  </si>
  <si>
    <t>Stains</t>
  </si>
  <si>
    <t>Bonneuil</t>
  </si>
  <si>
    <t>Vaux Le Pénil</t>
  </si>
  <si>
    <t>Réseaux-DAAF</t>
  </si>
  <si>
    <t>Janv.</t>
  </si>
  <si>
    <t>Secteur Rob.Privée</t>
  </si>
  <si>
    <t>Montlouis</t>
  </si>
  <si>
    <t>Sani Moderne</t>
  </si>
  <si>
    <t>Secteur Robinetterie</t>
  </si>
  <si>
    <t>Contrôle Ebit</t>
  </si>
  <si>
    <t>Reste à faire par mois</t>
  </si>
  <si>
    <t>Activité Réseaux / DAAF</t>
  </si>
  <si>
    <t>Secteur Robinetterie Public</t>
  </si>
  <si>
    <t>Paris Montlouis</t>
  </si>
  <si>
    <t>Secteur Robinetterie Privée</t>
  </si>
  <si>
    <t>Contrôle 0</t>
  </si>
  <si>
    <t>Total Secteur Robinetterie</t>
  </si>
  <si>
    <t>Location Longue Durée</t>
  </si>
  <si>
    <t>dont contrats Hors Maisoning</t>
  </si>
  <si>
    <t>METIER = MSN</t>
  </si>
  <si>
    <t>PTF Budget Maisoning</t>
  </si>
  <si>
    <t>AC = QTZPTFMN</t>
  </si>
  <si>
    <t>PTF Réel Maisoning</t>
  </si>
  <si>
    <t>dont contrats Maisoning</t>
  </si>
  <si>
    <t>AC = 071901</t>
  </si>
  <si>
    <t>Frais Admin (TraxAll)</t>
  </si>
  <si>
    <t>RU sum 2A-RPU-BONS</t>
  </si>
  <si>
    <t>2A-RPU-BUCS</t>
  </si>
  <si>
    <t>RU sum 2A-RPU-STAS</t>
  </si>
  <si>
    <t>RU sum 2A-RPU-RESE</t>
  </si>
  <si>
    <t>RU sum 2A-RPU-BUCS</t>
  </si>
  <si>
    <t>RU sum 2A-RPU-MELN</t>
  </si>
  <si>
    <t>RU sum 2S-RPU</t>
  </si>
  <si>
    <t>RU sum 2A-RPR-MONS</t>
  </si>
  <si>
    <t>RU sum 2A-RPR-SANS</t>
  </si>
  <si>
    <t>RU sum 2S-RPR</t>
  </si>
  <si>
    <t>RU sum 2G-ROB</t>
  </si>
  <si>
    <t>2G-ROB</t>
  </si>
  <si>
    <t>2A-RPU-BONS</t>
  </si>
  <si>
    <t>2A-RPU-STAS</t>
  </si>
  <si>
    <t>2A-RPU-MELN</t>
  </si>
  <si>
    <t>2A-RPU-RESE</t>
  </si>
  <si>
    <t>2S-RPU</t>
  </si>
  <si>
    <t>2A-RPR-MONS</t>
  </si>
  <si>
    <t>2A-RPR-SANS</t>
  </si>
  <si>
    <t>2S-RPR</t>
  </si>
  <si>
    <t>AC = 060312</t>
  </si>
  <si>
    <t>Chômage partiel</t>
  </si>
  <si>
    <t>CA MCP-PAC</t>
  </si>
  <si>
    <t>CA  MCP-PAC Centralisée</t>
  </si>
  <si>
    <t>CA  MCP-PAC Agence</t>
  </si>
  <si>
    <t>AC  = 040110</t>
  </si>
  <si>
    <t>CA MCP-Ballon</t>
  </si>
  <si>
    <t>CA MCP-Chaudière Centralisée</t>
  </si>
  <si>
    <t>CA MCP-Chaudière Agence</t>
  </si>
  <si>
    <t>CA MCP-Chaudière</t>
  </si>
  <si>
    <t>CA MCP-Radiateur Centralisée</t>
  </si>
  <si>
    <t>CA MCP-Radiateur Agence</t>
  </si>
  <si>
    <t>CA MCP-Radiateur</t>
  </si>
  <si>
    <t>Tvx Individuel: Travaux PAC</t>
  </si>
  <si>
    <t>Brevets et licences (ou économies)</t>
  </si>
  <si>
    <t>AC = 092901</t>
  </si>
  <si>
    <t>Frais de pilotage</t>
  </si>
  <si>
    <t>AC = 092201</t>
  </si>
  <si>
    <t>TOTAL RECETTES</t>
  </si>
  <si>
    <t>ACTU</t>
  </si>
  <si>
    <t>2023</t>
  </si>
  <si>
    <t>METIER sum METS.PACMCP</t>
  </si>
  <si>
    <t>Brevets et licences ( ou économies)</t>
  </si>
  <si>
    <t>Equivalent EFFECTIF Exploitation Intérim (ratio 44K€)</t>
  </si>
  <si>
    <t>Equivalent EFFECTIF Agence Intérim (ratio 44K€)</t>
  </si>
  <si>
    <t>Amort</t>
  </si>
  <si>
    <t>EBITDA</t>
  </si>
  <si>
    <t>AC sum ACEBITDA</t>
  </si>
  <si>
    <t>METIER sum METS.PAC</t>
  </si>
  <si>
    <t>FL=R</t>
  </si>
  <si>
    <t>FL=BN+1</t>
  </si>
  <si>
    <t>FL=AN</t>
  </si>
  <si>
    <t>DP=2020.12</t>
  </si>
  <si>
    <t>CA=REEL</t>
  </si>
  <si>
    <t>CA=PREV0</t>
  </si>
  <si>
    <t>CA=PREV1</t>
  </si>
  <si>
    <t>DP=2021.12</t>
  </si>
  <si>
    <t>DP=2022.12</t>
  </si>
  <si>
    <t>DP=2023.01</t>
  </si>
  <si>
    <t>DP=2023.3</t>
  </si>
  <si>
    <t>DP=2023.02</t>
  </si>
  <si>
    <t>DP=2023.03</t>
  </si>
  <si>
    <t>DP=2023.04</t>
  </si>
  <si>
    <t>DP=2023.05</t>
  </si>
  <si>
    <t>DP=2023.06</t>
  </si>
  <si>
    <t>DP=2023.07</t>
  </si>
  <si>
    <t>DP=2023.08</t>
  </si>
  <si>
    <t>DP=2023.09</t>
  </si>
  <si>
    <t>DP=2023.10</t>
  </si>
  <si>
    <t>DP=2023.11</t>
  </si>
  <si>
    <t>DP=2023.12</t>
  </si>
  <si>
    <t/>
  </si>
  <si>
    <t>BUDGET en 12/12</t>
  </si>
  <si>
    <t>Ecart BUDGET</t>
  </si>
  <si>
    <t>ACTU en 12/12</t>
  </si>
  <si>
    <t>Ecart ACTU</t>
  </si>
  <si>
    <t>2021.12</t>
  </si>
  <si>
    <t>2022.12</t>
  </si>
  <si>
    <t>2023.12</t>
  </si>
  <si>
    <t>ACTU 2023</t>
  </si>
  <si>
    <t>Reste à faire - ACTU 2023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</si>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</sst>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0.0%"/>
    <numFmt numFmtId="166" formatCode="#,##0.0"/>
    <numFmt numFmtId="167" formatCode="#,##0\ &quot;€&quot;"/>
  </numFmts>
  <fonts count="4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0"/>
      <color indexed="10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9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7"/>
      <name val="Tahoma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10"/>
      <name val="Tahoma"/>
      <family val="2"/>
    </font>
    <font>
      <sz val="10"/>
      <name val="Arial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sz val="10"/>
      <color rgb="FF0033CC"/>
      <name val="Cambria"/>
      <family val="1"/>
    </font>
    <font>
      <sz val="12"/>
      <color rgb="FF0033CC"/>
      <name val="Cambria"/>
      <family val="1"/>
    </font>
    <font>
      <sz val="11"/>
      <name val="Tahoma"/>
      <family val="2"/>
    </font>
    <font>
      <sz val="12"/>
      <color rgb="FFFF0000"/>
      <name val="Tahoma"/>
      <family val="2"/>
    </font>
    <font>
      <b/>
      <sz val="12"/>
      <color rgb="FFFF0000"/>
      <name val="Tahoma"/>
      <family val="2"/>
    </font>
    <font>
      <b/>
      <sz val="12"/>
      <color indexed="10"/>
      <name val="Tahoma"/>
      <family val="2"/>
    </font>
    <font>
      <sz val="12"/>
      <color indexed="10"/>
      <name val="Tahoma"/>
      <family val="2"/>
    </font>
    <font>
      <b/>
      <sz val="12"/>
      <color indexed="17"/>
      <name val="Tahoma"/>
      <family val="2"/>
    </font>
    <font>
      <sz val="12"/>
      <color rgb="FF0033CC"/>
      <name val="Tahoma"/>
      <family val="2"/>
    </font>
    <font>
      <b/>
      <sz val="12"/>
      <color rgb="FF0033CC"/>
      <name val="Tahoma"/>
      <family val="2"/>
    </font>
    <font>
      <b/>
      <sz val="10"/>
      <color rgb="FF0033CC"/>
      <name val="Tahoma"/>
      <family val="2"/>
    </font>
    <font>
      <sz val="11"/>
      <color rgb="FF0033CC"/>
      <name val="Tahoma"/>
      <family val="2"/>
    </font>
    <font>
      <sz val="10"/>
      <color rgb="FF0033CC"/>
      <name val="Tahoma"/>
      <family val="2"/>
    </font>
    <font>
      <sz val="6"/>
      <name val="Arial"/>
      <family val="2"/>
    </font>
    <font>
      <sz val="8"/>
      <name val="Tahoma"/>
      <family val="2"/>
    </font>
    <font>
      <sz val="6"/>
      <color rgb="FF0033CC"/>
      <name val="Cambria"/>
      <family val="1"/>
    </font>
    <font>
      <b/>
      <sz val="7"/>
      <name val="Tahoma"/>
      <family val="2"/>
    </font>
    <font>
      <b/>
      <sz val="10"/>
      <color rgb="FFFF000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0"/>
      <color indexed="10"/>
      <name val="Arial"/>
      <family val="2"/>
    </font>
    <font>
      <b/>
      <i/>
      <sz val="10"/>
      <name val="Tahoma"/>
      <family val="2"/>
    </font>
    <font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42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3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3" fillId="0" borderId="0"/>
    <xf numFmtId="0" fontId="3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1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15" borderId="6" applyNumberFormat="0" applyFont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3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5" fontId="7" fillId="0" borderId="0" xfId="2" applyNumberFormat="1" applyFont="1" applyFill="1" applyAlignment="1">
      <alignment vertical="center"/>
    </xf>
    <xf numFmtId="165" fontId="6" fillId="0" borderId="0" xfId="2" applyNumberFormat="1" applyFont="1" applyFill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6" fillId="0" borderId="0" xfId="47" applyFont="1" applyAlignment="1">
      <alignment vertical="center"/>
    </xf>
    <xf numFmtId="0" fontId="7" fillId="0" borderId="0" xfId="47" applyFont="1" applyAlignment="1">
      <alignment vertical="center"/>
    </xf>
    <xf numFmtId="0" fontId="23" fillId="0" borderId="0" xfId="47" applyFont="1" applyAlignment="1">
      <alignment vertical="center"/>
    </xf>
    <xf numFmtId="49" fontId="7" fillId="6" borderId="1" xfId="47" applyNumberFormat="1" applyFont="1" applyFill="1" applyBorder="1" applyAlignment="1">
      <alignment horizontal="center" vertical="center"/>
    </xf>
    <xf numFmtId="0" fontId="10" fillId="0" borderId="0" xfId="47" applyFont="1" applyAlignment="1">
      <alignment vertical="center"/>
    </xf>
    <xf numFmtId="0" fontId="7" fillId="0" borderId="0" xfId="47" applyFont="1" applyAlignment="1">
      <alignment horizontal="center" vertical="center"/>
    </xf>
    <xf numFmtId="0" fontId="23" fillId="0" borderId="0" xfId="47" applyFont="1" applyAlignment="1">
      <alignment horizontal="center" vertical="center"/>
    </xf>
    <xf numFmtId="0" fontId="7" fillId="6" borderId="1" xfId="47" applyFont="1" applyFill="1" applyBorder="1" applyAlignment="1">
      <alignment vertical="center"/>
    </xf>
    <xf numFmtId="0" fontId="6" fillId="6" borderId="1" xfId="47" applyFont="1" applyFill="1" applyBorder="1" applyAlignment="1">
      <alignment vertical="center"/>
    </xf>
    <xf numFmtId="0" fontId="8" fillId="0" borderId="0" xfId="47" applyFont="1" applyAlignment="1">
      <alignment vertical="center"/>
    </xf>
    <xf numFmtId="0" fontId="15" fillId="0" borderId="0" xfId="47" applyFont="1" applyFill="1" applyBorder="1" applyAlignment="1">
      <alignment horizontal="center" vertical="center"/>
    </xf>
    <xf numFmtId="0" fontId="24" fillId="0" borderId="0" xfId="47" applyFont="1" applyAlignment="1">
      <alignment vertical="center"/>
    </xf>
    <xf numFmtId="3" fontId="8" fillId="0" borderId="0" xfId="47" applyNumberFormat="1" applyFont="1" applyAlignment="1">
      <alignment vertical="center"/>
    </xf>
    <xf numFmtId="0" fontId="11" fillId="0" borderId="0" xfId="47" applyFont="1" applyAlignment="1">
      <alignment vertical="center"/>
    </xf>
    <xf numFmtId="0" fontId="5" fillId="0" borderId="0" xfId="47" applyFont="1" applyFill="1" applyBorder="1"/>
    <xf numFmtId="0" fontId="14" fillId="0" borderId="0" xfId="47" applyFont="1" applyFill="1" applyBorder="1"/>
    <xf numFmtId="0" fontId="23" fillId="0" borderId="0" xfId="47" applyFont="1" applyFill="1" applyBorder="1"/>
    <xf numFmtId="0" fontId="14" fillId="0" borderId="0" xfId="47" applyFont="1" applyFill="1" applyBorder="1" applyAlignment="1">
      <alignment horizontal="center"/>
    </xf>
    <xf numFmtId="0" fontId="7" fillId="0" borderId="2" xfId="47" applyFont="1" applyBorder="1" applyAlignment="1">
      <alignment vertical="center"/>
    </xf>
    <xf numFmtId="0" fontId="6" fillId="0" borderId="3" xfId="47" applyFont="1" applyFill="1" applyBorder="1" applyAlignment="1">
      <alignment horizontal="center"/>
    </xf>
    <xf numFmtId="0" fontId="6" fillId="2" borderId="3" xfId="47" applyFont="1" applyFill="1" applyBorder="1" applyAlignment="1">
      <alignment horizontal="center"/>
    </xf>
    <xf numFmtId="0" fontId="6" fillId="0" borderId="4" xfId="47" applyFont="1" applyFill="1" applyBorder="1" applyAlignment="1">
      <alignment horizontal="center" vertical="top"/>
    </xf>
    <xf numFmtId="0" fontId="6" fillId="2" borderId="4" xfId="47" applyFont="1" applyFill="1" applyBorder="1" applyAlignment="1">
      <alignment horizontal="center" vertical="top"/>
    </xf>
    <xf numFmtId="0" fontId="7" fillId="4" borderId="1" xfId="47" applyFont="1" applyFill="1" applyBorder="1" applyAlignment="1">
      <alignment vertical="center"/>
    </xf>
    <xf numFmtId="0" fontId="22" fillId="0" borderId="0" xfId="47" applyFont="1" applyAlignment="1">
      <alignment vertical="center"/>
    </xf>
    <xf numFmtId="0" fontId="6" fillId="5" borderId="1" xfId="47" applyFont="1" applyFill="1" applyBorder="1" applyAlignment="1">
      <alignment vertical="center"/>
    </xf>
    <xf numFmtId="0" fontId="19" fillId="4" borderId="1" xfId="47" applyFont="1" applyFill="1" applyBorder="1" applyAlignment="1">
      <alignment vertical="center"/>
    </xf>
    <xf numFmtId="0" fontId="19" fillId="0" borderId="0" xfId="47" applyFont="1" applyAlignment="1">
      <alignment vertical="center"/>
    </xf>
    <xf numFmtId="0" fontId="7" fillId="5" borderId="1" xfId="47" applyFont="1" applyFill="1" applyBorder="1" applyAlignment="1">
      <alignment vertical="center"/>
    </xf>
    <xf numFmtId="0" fontId="9" fillId="0" borderId="0" xfId="47" applyFont="1" applyAlignment="1">
      <alignment vertical="center"/>
    </xf>
    <xf numFmtId="0" fontId="16" fillId="0" borderId="0" xfId="47" applyFont="1" applyAlignment="1">
      <alignment vertical="center"/>
    </xf>
    <xf numFmtId="0" fontId="19" fillId="0" borderId="1" xfId="47" applyFont="1" applyBorder="1" applyAlignment="1">
      <alignment horizontal="left" vertical="center"/>
    </xf>
    <xf numFmtId="0" fontId="7" fillId="4" borderId="1" xfId="47" applyFont="1" applyFill="1" applyBorder="1" applyAlignment="1">
      <alignment horizontal="left" vertical="center"/>
    </xf>
    <xf numFmtId="0" fontId="7" fillId="0" borderId="0" xfId="47" applyFont="1" applyFill="1" applyAlignment="1">
      <alignment vertical="center"/>
    </xf>
    <xf numFmtId="3" fontId="7" fillId="0" borderId="0" xfId="47" applyNumberFormat="1" applyFont="1" applyFill="1" applyAlignment="1">
      <alignment vertical="center"/>
    </xf>
    <xf numFmtId="0" fontId="7" fillId="4" borderId="1" xfId="48" applyFont="1" applyFill="1" applyBorder="1" applyAlignment="1">
      <alignment vertical="center"/>
    </xf>
    <xf numFmtId="0" fontId="9" fillId="0" borderId="1" xfId="48" applyFont="1" applyBorder="1" applyAlignment="1">
      <alignment vertical="center"/>
    </xf>
    <xf numFmtId="3" fontId="21" fillId="0" borderId="1" xfId="47" applyNumberFormat="1" applyFont="1" applyFill="1" applyBorder="1" applyAlignment="1">
      <alignment vertical="center"/>
    </xf>
    <xf numFmtId="0" fontId="6" fillId="6" borderId="1" xfId="47" applyFont="1" applyFill="1" applyBorder="1" applyAlignment="1">
      <alignment horizontal="left" vertical="center"/>
    </xf>
    <xf numFmtId="0" fontId="22" fillId="4" borderId="1" xfId="47" applyFont="1" applyFill="1" applyBorder="1" applyAlignment="1">
      <alignment vertical="center"/>
    </xf>
    <xf numFmtId="165" fontId="22" fillId="0" borderId="0" xfId="2" applyNumberFormat="1" applyFont="1" applyFill="1" applyAlignment="1">
      <alignment vertical="center"/>
    </xf>
    <xf numFmtId="3" fontId="7" fillId="0" borderId="0" xfId="47" applyNumberFormat="1" applyFont="1" applyAlignment="1">
      <alignment vertical="center"/>
    </xf>
    <xf numFmtId="0" fontId="23" fillId="0" borderId="0" xfId="0" applyFont="1" applyAlignment="1">
      <alignment vertical="center"/>
    </xf>
    <xf numFmtId="0" fontId="6" fillId="0" borderId="1" xfId="47" applyFont="1" applyFill="1" applyBorder="1" applyAlignment="1">
      <alignment horizontal="left" vertical="center"/>
    </xf>
    <xf numFmtId="0" fontId="7" fillId="0" borderId="1" xfId="47" applyFont="1" applyFill="1" applyBorder="1" applyAlignment="1">
      <alignment horizontal="left" vertical="center"/>
    </xf>
    <xf numFmtId="49" fontId="10" fillId="0" borderId="0" xfId="47" applyNumberFormat="1" applyFont="1" applyAlignment="1">
      <alignment vertical="center"/>
    </xf>
    <xf numFmtId="0" fontId="25" fillId="0" borderId="0" xfId="47" applyFont="1" applyAlignment="1">
      <alignment vertical="center"/>
    </xf>
    <xf numFmtId="3" fontId="10" fillId="0" borderId="1" xfId="47" applyNumberFormat="1" applyFont="1" applyFill="1" applyBorder="1" applyAlignment="1">
      <alignment vertical="center"/>
    </xf>
    <xf numFmtId="3" fontId="25" fillId="0" borderId="1" xfId="47" applyNumberFormat="1" applyFont="1" applyFill="1" applyBorder="1" applyAlignment="1">
      <alignment vertical="center"/>
    </xf>
    <xf numFmtId="165" fontId="25" fillId="4" borderId="1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3" fontId="11" fillId="3" borderId="1" xfId="47" applyNumberFormat="1" applyFont="1" applyFill="1" applyBorder="1" applyAlignment="1">
      <alignment vertical="center"/>
    </xf>
    <xf numFmtId="3" fontId="26" fillId="0" borderId="1" xfId="47" applyNumberFormat="1" applyFont="1" applyFill="1" applyBorder="1" applyAlignment="1">
      <alignment vertical="center"/>
    </xf>
    <xf numFmtId="3" fontId="11" fillId="0" borderId="1" xfId="47" applyNumberFormat="1" applyFont="1" applyFill="1" applyBorder="1" applyAlignment="1">
      <alignment vertical="center"/>
    </xf>
    <xf numFmtId="3" fontId="8" fillId="0" borderId="1" xfId="47" applyNumberFormat="1" applyFont="1" applyFill="1" applyBorder="1" applyAlignment="1">
      <alignment vertical="center"/>
    </xf>
    <xf numFmtId="3" fontId="11" fillId="6" borderId="1" xfId="47" applyNumberFormat="1" applyFont="1" applyFill="1" applyBorder="1" applyAlignment="1">
      <alignment vertical="center"/>
    </xf>
    <xf numFmtId="3" fontId="27" fillId="0" borderId="1" xfId="47" applyNumberFormat="1" applyFont="1" applyFill="1" applyBorder="1" applyAlignment="1">
      <alignment vertical="center"/>
    </xf>
    <xf numFmtId="3" fontId="11" fillId="8" borderId="1" xfId="47" applyNumberFormat="1" applyFont="1" applyFill="1" applyBorder="1" applyAlignment="1">
      <alignment vertical="center"/>
    </xf>
    <xf numFmtId="3" fontId="28" fillId="0" borderId="1" xfId="47" applyNumberFormat="1" applyFont="1" applyFill="1" applyBorder="1" applyAlignment="1">
      <alignment vertical="center"/>
    </xf>
    <xf numFmtId="3" fontId="29" fillId="0" borderId="1" xfId="47" applyNumberFormat="1" applyFont="1" applyFill="1" applyBorder="1" applyAlignment="1">
      <alignment vertical="center"/>
    </xf>
    <xf numFmtId="3" fontId="30" fillId="0" borderId="1" xfId="47" applyNumberFormat="1" applyFont="1" applyFill="1" applyBorder="1" applyAlignment="1">
      <alignment vertical="center"/>
    </xf>
    <xf numFmtId="165" fontId="8" fillId="4" borderId="1" xfId="2" applyNumberFormat="1" applyFont="1" applyFill="1" applyBorder="1" applyAlignment="1">
      <alignment vertical="center"/>
    </xf>
    <xf numFmtId="165" fontId="11" fillId="0" borderId="1" xfId="2" applyNumberFormat="1" applyFont="1" applyFill="1" applyBorder="1" applyAlignment="1">
      <alignment vertical="center"/>
    </xf>
    <xf numFmtId="3" fontId="29" fillId="5" borderId="1" xfId="47" applyNumberFormat="1" applyFont="1" applyFill="1" applyBorder="1" applyAlignment="1">
      <alignment vertical="center"/>
    </xf>
    <xf numFmtId="3" fontId="28" fillId="5" borderId="1" xfId="47" applyNumberFormat="1" applyFont="1" applyFill="1" applyBorder="1" applyAlignment="1">
      <alignment vertical="center"/>
    </xf>
    <xf numFmtId="166" fontId="8" fillId="0" borderId="1" xfId="47" applyNumberFormat="1" applyFont="1" applyFill="1" applyBorder="1" applyAlignment="1">
      <alignment vertical="center"/>
    </xf>
    <xf numFmtId="166" fontId="11" fillId="0" borderId="1" xfId="47" applyNumberFormat="1" applyFont="1" applyFill="1" applyBorder="1" applyAlignment="1">
      <alignment vertical="center"/>
    </xf>
    <xf numFmtId="166" fontId="8" fillId="3" borderId="1" xfId="47" applyNumberFormat="1" applyFont="1" applyFill="1" applyBorder="1" applyAlignment="1">
      <alignment vertical="center"/>
    </xf>
    <xf numFmtId="166" fontId="29" fillId="3" borderId="1" xfId="47" applyNumberFormat="1" applyFont="1" applyFill="1" applyBorder="1" applyAlignment="1">
      <alignment vertical="center"/>
    </xf>
    <xf numFmtId="166" fontId="29" fillId="0" borderId="1" xfId="47" applyNumberFormat="1" applyFont="1" applyFill="1" applyBorder="1" applyAlignment="1">
      <alignment vertical="center"/>
    </xf>
    <xf numFmtId="3" fontId="11" fillId="7" borderId="1" xfId="47" applyNumberFormat="1" applyFont="1" applyFill="1" applyBorder="1" applyAlignment="1">
      <alignment vertical="center"/>
    </xf>
    <xf numFmtId="166" fontId="11" fillId="9" borderId="1" xfId="47" applyNumberFormat="1" applyFont="1" applyFill="1" applyBorder="1" applyAlignment="1">
      <alignment vertical="center"/>
    </xf>
    <xf numFmtId="3" fontId="11" fillId="9" borderId="1" xfId="47" applyNumberFormat="1" applyFont="1" applyFill="1" applyBorder="1" applyAlignment="1">
      <alignment vertical="center"/>
    </xf>
    <xf numFmtId="165" fontId="8" fillId="0" borderId="1" xfId="2" applyNumberFormat="1" applyFont="1" applyFill="1" applyBorder="1" applyAlignment="1">
      <alignment vertical="center"/>
    </xf>
    <xf numFmtId="166" fontId="8" fillId="6" borderId="1" xfId="48" applyNumberFormat="1" applyFont="1" applyFill="1" applyBorder="1" applyAlignment="1">
      <alignment vertical="center"/>
    </xf>
    <xf numFmtId="0" fontId="8" fillId="0" borderId="0" xfId="48" applyFont="1" applyAlignment="1">
      <alignment vertical="center"/>
    </xf>
    <xf numFmtId="166" fontId="31" fillId="6" borderId="1" xfId="48" applyNumberFormat="1" applyFont="1" applyFill="1" applyBorder="1" applyAlignment="1">
      <alignment vertical="center"/>
    </xf>
    <xf numFmtId="0" fontId="31" fillId="0" borderId="0" xfId="48" applyFont="1" applyAlignment="1">
      <alignment vertical="center"/>
    </xf>
    <xf numFmtId="0" fontId="31" fillId="0" borderId="0" xfId="47" applyFont="1" applyAlignment="1">
      <alignment vertical="center"/>
    </xf>
    <xf numFmtId="3" fontId="31" fillId="0" borderId="1" xfId="47" applyNumberFormat="1" applyFont="1" applyFill="1" applyBorder="1" applyAlignment="1">
      <alignment vertical="center"/>
    </xf>
    <xf numFmtId="166" fontId="32" fillId="9" borderId="1" xfId="47" applyNumberFormat="1" applyFont="1" applyFill="1" applyBorder="1" applyAlignment="1">
      <alignment vertical="center"/>
    </xf>
    <xf numFmtId="3" fontId="31" fillId="8" borderId="1" xfId="47" applyNumberFormat="1" applyFont="1" applyFill="1" applyBorder="1" applyAlignment="1">
      <alignment vertical="center"/>
    </xf>
    <xf numFmtId="3" fontId="32" fillId="8" borderId="1" xfId="47" applyNumberFormat="1" applyFont="1" applyFill="1" applyBorder="1" applyAlignment="1">
      <alignment vertical="center"/>
    </xf>
    <xf numFmtId="3" fontId="32" fillId="0" borderId="1" xfId="47" applyNumberFormat="1" applyFont="1" applyFill="1" applyBorder="1" applyAlignment="1">
      <alignment vertical="center"/>
    </xf>
    <xf numFmtId="165" fontId="31" fillId="0" borderId="1" xfId="2" applyNumberFormat="1" applyFont="1" applyFill="1" applyBorder="1" applyAlignment="1">
      <alignment vertical="center"/>
    </xf>
    <xf numFmtId="3" fontId="32" fillId="3" borderId="1" xfId="47" applyNumberFormat="1" applyFont="1" applyFill="1" applyBorder="1" applyAlignment="1">
      <alignment vertical="center"/>
    </xf>
    <xf numFmtId="3" fontId="7" fillId="0" borderId="0" xfId="0" applyNumberFormat="1" applyFont="1" applyAlignment="1">
      <alignment vertical="center"/>
    </xf>
    <xf numFmtId="0" fontId="22" fillId="0" borderId="1" xfId="47" applyFont="1" applyFill="1" applyBorder="1" applyAlignment="1">
      <alignment horizontal="left" vertical="center"/>
    </xf>
    <xf numFmtId="0" fontId="6" fillId="8" borderId="1" xfId="47" applyFont="1" applyFill="1" applyBorder="1" applyAlignment="1">
      <alignment horizontal="left" vertical="center"/>
    </xf>
    <xf numFmtId="0" fontId="6" fillId="0" borderId="0" xfId="47" applyFont="1" applyAlignment="1">
      <alignment horizontal="left" vertical="center"/>
    </xf>
    <xf numFmtId="0" fontId="7" fillId="3" borderId="1" xfId="47" applyFont="1" applyFill="1" applyBorder="1" applyAlignment="1">
      <alignment horizontal="left" vertical="center"/>
    </xf>
    <xf numFmtId="0" fontId="19" fillId="3" borderId="1" xfId="47" applyFont="1" applyFill="1" applyBorder="1" applyAlignment="1">
      <alignment horizontal="left" vertical="center"/>
    </xf>
    <xf numFmtId="0" fontId="6" fillId="0" borderId="5" xfId="47" applyFont="1" applyBorder="1" applyAlignment="1">
      <alignment horizontal="left" vertical="center"/>
    </xf>
    <xf numFmtId="3" fontId="6" fillId="6" borderId="1" xfId="47" applyNumberFormat="1" applyFont="1" applyFill="1" applyBorder="1" applyAlignment="1">
      <alignment horizontal="left" vertical="center"/>
    </xf>
    <xf numFmtId="0" fontId="6" fillId="7" borderId="1" xfId="47" applyFont="1" applyFill="1" applyBorder="1" applyAlignment="1">
      <alignment horizontal="left" vertical="center"/>
    </xf>
    <xf numFmtId="0" fontId="7" fillId="6" borderId="1" xfId="48" applyFont="1" applyFill="1" applyBorder="1" applyAlignment="1">
      <alignment horizontal="left" vertical="center"/>
    </xf>
    <xf numFmtId="0" fontId="7" fillId="0" borderId="0" xfId="48" applyFont="1" applyAlignment="1">
      <alignment horizontal="left" vertical="center"/>
    </xf>
    <xf numFmtId="0" fontId="9" fillId="0" borderId="1" xfId="47" applyFont="1" applyBorder="1" applyAlignment="1">
      <alignment horizontal="left" vertical="center"/>
    </xf>
    <xf numFmtId="0" fontId="16" fillId="0" borderId="1" xfId="47" applyFont="1" applyBorder="1" applyAlignment="1">
      <alignment horizontal="left" vertical="center"/>
    </xf>
    <xf numFmtId="0" fontId="7" fillId="0" borderId="1" xfId="47" applyFont="1" applyBorder="1" applyAlignment="1">
      <alignment horizontal="left" vertical="center"/>
    </xf>
    <xf numFmtId="0" fontId="6" fillId="9" borderId="1" xfId="47" applyFont="1" applyFill="1" applyBorder="1" applyAlignment="1">
      <alignment horizontal="left" vertical="center"/>
    </xf>
    <xf numFmtId="3" fontId="32" fillId="6" borderId="1" xfId="47" applyNumberFormat="1" applyFont="1" applyFill="1" applyBorder="1" applyAlignment="1">
      <alignment vertical="center"/>
    </xf>
    <xf numFmtId="165" fontId="34" fillId="4" borderId="1" xfId="2" applyNumberFormat="1" applyFont="1" applyFill="1" applyBorder="1" applyAlignment="1">
      <alignment vertical="center"/>
    </xf>
    <xf numFmtId="0" fontId="35" fillId="0" borderId="0" xfId="47" applyFont="1" applyAlignment="1">
      <alignment vertical="center"/>
    </xf>
    <xf numFmtId="166" fontId="31" fillId="0" borderId="1" xfId="47" applyNumberFormat="1" applyFont="1" applyFill="1" applyBorder="1" applyAlignment="1">
      <alignment vertical="center"/>
    </xf>
    <xf numFmtId="166" fontId="31" fillId="3" borderId="1" xfId="47" applyNumberFormat="1" applyFont="1" applyFill="1" applyBorder="1" applyAlignment="1">
      <alignment vertical="center"/>
    </xf>
    <xf numFmtId="165" fontId="31" fillId="4" borderId="1" xfId="2" applyNumberFormat="1" applyFont="1" applyFill="1" applyBorder="1" applyAlignment="1">
      <alignment vertical="center"/>
    </xf>
    <xf numFmtId="3" fontId="32" fillId="7" borderId="1" xfId="47" applyNumberFormat="1" applyFont="1" applyFill="1" applyBorder="1" applyAlignment="1">
      <alignment vertical="center"/>
    </xf>
    <xf numFmtId="0" fontId="34" fillId="0" borderId="0" xfId="47" applyFont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0" fontId="6" fillId="4" borderId="1" xfId="47" applyFont="1" applyFill="1" applyBorder="1" applyAlignment="1">
      <alignment vertical="center"/>
    </xf>
    <xf numFmtId="0" fontId="6" fillId="10" borderId="1" xfId="47" applyFont="1" applyFill="1" applyBorder="1" applyAlignment="1">
      <alignment horizontal="left" vertical="center"/>
    </xf>
    <xf numFmtId="0" fontId="6" fillId="10" borderId="0" xfId="47" applyFont="1" applyFill="1" applyAlignment="1">
      <alignment vertical="center"/>
    </xf>
    <xf numFmtId="3" fontId="11" fillId="10" borderId="1" xfId="47" applyNumberFormat="1" applyFont="1" applyFill="1" applyBorder="1" applyAlignment="1">
      <alignment vertical="center"/>
    </xf>
    <xf numFmtId="3" fontId="32" fillId="10" borderId="1" xfId="47" applyNumberFormat="1" applyFont="1" applyFill="1" applyBorder="1" applyAlignment="1">
      <alignment vertical="center"/>
    </xf>
    <xf numFmtId="0" fontId="9" fillId="10" borderId="0" xfId="47" applyFont="1" applyFill="1" applyAlignment="1">
      <alignment vertical="center"/>
    </xf>
    <xf numFmtId="0" fontId="7" fillId="10" borderId="0" xfId="47" applyFont="1" applyFill="1" applyAlignment="1">
      <alignment vertical="center"/>
    </xf>
    <xf numFmtId="0" fontId="10" fillId="0" borderId="0" xfId="47" applyNumberFormat="1" applyFont="1" applyAlignment="1">
      <alignment vertical="center"/>
    </xf>
    <xf numFmtId="0" fontId="25" fillId="0" borderId="1" xfId="47" applyFont="1" applyBorder="1" applyAlignment="1">
      <alignment horizontal="center" vertical="center"/>
    </xf>
    <xf numFmtId="0" fontId="25" fillId="0" borderId="1" xfId="47" quotePrefix="1" applyFont="1" applyBorder="1" applyAlignment="1">
      <alignment horizontal="center" vertical="center"/>
    </xf>
    <xf numFmtId="0" fontId="36" fillId="3" borderId="1" xfId="47" applyFont="1" applyFill="1" applyBorder="1"/>
    <xf numFmtId="0" fontId="5" fillId="0" borderId="0" xfId="47" applyFont="1" applyAlignment="1">
      <alignment vertical="center"/>
    </xf>
    <xf numFmtId="10" fontId="37" fillId="0" borderId="0" xfId="2" applyNumberFormat="1" applyFont="1" applyAlignment="1">
      <alignment vertical="center"/>
    </xf>
    <xf numFmtId="0" fontId="38" fillId="3" borderId="1" xfId="47" applyFont="1" applyFill="1" applyBorder="1"/>
    <xf numFmtId="0" fontId="25" fillId="0" borderId="0" xfId="47" quotePrefix="1" applyFont="1" applyAlignment="1">
      <alignment vertical="center"/>
    </xf>
    <xf numFmtId="167" fontId="7" fillId="4" borderId="1" xfId="47" applyNumberFormat="1" applyFont="1" applyFill="1" applyBorder="1" applyAlignment="1">
      <alignment vertical="center"/>
    </xf>
    <xf numFmtId="167" fontId="35" fillId="4" borderId="1" xfId="47" applyNumberFormat="1" applyFont="1" applyFill="1" applyBorder="1" applyAlignment="1">
      <alignment vertical="center"/>
    </xf>
    <xf numFmtId="167" fontId="6" fillId="0" borderId="1" xfId="47" applyNumberFormat="1" applyFont="1" applyFill="1" applyBorder="1" applyAlignment="1">
      <alignment vertical="center"/>
    </xf>
    <xf numFmtId="49" fontId="6" fillId="0" borderId="3" xfId="47" applyNumberFormat="1" applyFont="1" applyFill="1" applyBorder="1" applyAlignment="1">
      <alignment horizontal="center"/>
    </xf>
    <xf numFmtId="49" fontId="33" fillId="0" borderId="3" xfId="47" applyNumberFormat="1" applyFont="1" applyFill="1" applyBorder="1" applyAlignment="1">
      <alignment horizontal="center"/>
    </xf>
    <xf numFmtId="49" fontId="33" fillId="0" borderId="4" xfId="47" applyNumberFormat="1" applyFont="1" applyFill="1" applyBorder="1" applyAlignment="1">
      <alignment horizontal="center" vertical="top"/>
    </xf>
    <xf numFmtId="0" fontId="14" fillId="0" borderId="0" xfId="0" applyFont="1" applyFill="1" applyBorder="1"/>
    <xf numFmtId="0" fontId="6" fillId="4" borderId="3" xfId="47" applyFont="1" applyFill="1" applyBorder="1" applyAlignment="1">
      <alignment horizontal="center" vertical="center" wrapText="1"/>
    </xf>
    <xf numFmtId="0" fontId="6" fillId="4" borderId="4" xfId="47" applyFont="1" applyFill="1" applyBorder="1" applyAlignment="1">
      <alignment horizontal="center" vertical="center" wrapText="1"/>
    </xf>
    <xf numFmtId="0" fontId="14" fillId="0" borderId="0" xfId="47" applyFont="1" applyAlignment="1">
      <alignment vertical="center"/>
    </xf>
    <xf numFmtId="49" fontId="5" fillId="6" borderId="1" xfId="47" applyNumberFormat="1" applyFont="1" applyFill="1" applyBorder="1" applyAlignment="1">
      <alignment horizontal="center" vertical="center"/>
    </xf>
    <xf numFmtId="0" fontId="5" fillId="0" borderId="0" xfId="47" applyFont="1" applyAlignment="1">
      <alignment horizontal="center" vertical="center"/>
    </xf>
    <xf numFmtId="0" fontId="5" fillId="6" borderId="1" xfId="47" applyFont="1" applyFill="1" applyBorder="1" applyAlignment="1">
      <alignment vertical="center"/>
    </xf>
    <xf numFmtId="10" fontId="14" fillId="0" borderId="0" xfId="2" applyNumberFormat="1" applyFont="1" applyAlignment="1">
      <alignment vertical="center"/>
    </xf>
    <xf numFmtId="0" fontId="14" fillId="3" borderId="1" xfId="47" applyFont="1" applyFill="1" applyBorder="1"/>
    <xf numFmtId="0" fontId="14" fillId="6" borderId="1" xfId="47" applyFont="1" applyFill="1" applyBorder="1" applyAlignment="1">
      <alignment vertical="center"/>
    </xf>
    <xf numFmtId="0" fontId="14" fillId="0" borderId="0" xfId="47" quotePrefix="1" applyFont="1" applyAlignment="1">
      <alignment vertical="center"/>
    </xf>
    <xf numFmtId="0" fontId="14" fillId="0" borderId="0" xfId="47" applyFont="1" applyFill="1" applyBorder="1" applyAlignment="1">
      <alignment horizontal="center" vertical="center"/>
    </xf>
    <xf numFmtId="3" fontId="5" fillId="0" borderId="0" xfId="47" applyNumberFormat="1" applyFont="1" applyAlignment="1">
      <alignment vertical="center"/>
    </xf>
    <xf numFmtId="0" fontId="5" fillId="0" borderId="2" xfId="47" applyFont="1" applyBorder="1" applyAlignment="1">
      <alignment vertical="center"/>
    </xf>
    <xf numFmtId="0" fontId="14" fillId="0" borderId="3" xfId="47" applyFont="1" applyFill="1" applyBorder="1" applyAlignment="1">
      <alignment horizontal="center"/>
    </xf>
    <xf numFmtId="49" fontId="18" fillId="0" borderId="3" xfId="47" applyNumberFormat="1" applyFont="1" applyFill="1" applyBorder="1" applyAlignment="1">
      <alignment horizontal="center"/>
    </xf>
    <xf numFmtId="0" fontId="14" fillId="2" borderId="3" xfId="47" applyFont="1" applyFill="1" applyBorder="1" applyAlignment="1">
      <alignment horizontal="center"/>
    </xf>
    <xf numFmtId="0" fontId="14" fillId="11" borderId="3" xfId="47" applyFont="1" applyFill="1" applyBorder="1" applyAlignment="1">
      <alignment horizontal="center"/>
    </xf>
    <xf numFmtId="0" fontId="14" fillId="0" borderId="4" xfId="47" applyFont="1" applyFill="1" applyBorder="1" applyAlignment="1">
      <alignment horizontal="center" vertical="top"/>
    </xf>
    <xf numFmtId="49" fontId="18" fillId="0" borderId="4" xfId="47" applyNumberFormat="1" applyFont="1" applyFill="1" applyBorder="1" applyAlignment="1">
      <alignment horizontal="center" vertical="top"/>
    </xf>
    <xf numFmtId="0" fontId="14" fillId="2" borderId="4" xfId="47" applyFont="1" applyFill="1" applyBorder="1" applyAlignment="1">
      <alignment horizontal="center" vertical="top"/>
    </xf>
    <xf numFmtId="0" fontId="14" fillId="11" borderId="4" xfId="47" applyFont="1" applyFill="1" applyBorder="1" applyAlignment="1">
      <alignment horizontal="center" vertical="top"/>
    </xf>
    <xf numFmtId="0" fontId="5" fillId="0" borderId="1" xfId="47" applyFont="1" applyBorder="1" applyAlignment="1">
      <alignment vertical="center"/>
    </xf>
    <xf numFmtId="0" fontId="5" fillId="4" borderId="1" xfId="47" applyFont="1" applyFill="1" applyBorder="1" applyAlignment="1">
      <alignment vertical="center"/>
    </xf>
    <xf numFmtId="165" fontId="5" fillId="0" borderId="0" xfId="2" applyNumberFormat="1" applyFont="1" applyFill="1" applyAlignment="1">
      <alignment vertical="center"/>
    </xf>
    <xf numFmtId="0" fontId="5" fillId="0" borderId="1" xfId="47" applyFont="1" applyBorder="1" applyAlignment="1">
      <alignment horizontal="left" vertical="center"/>
    </xf>
    <xf numFmtId="3" fontId="5" fillId="0" borderId="1" xfId="47" applyNumberFormat="1" applyFont="1" applyFill="1" applyBorder="1" applyAlignment="1">
      <alignment vertical="center"/>
    </xf>
    <xf numFmtId="3" fontId="17" fillId="0" borderId="1" xfId="47" applyNumberFormat="1" applyFont="1" applyFill="1" applyBorder="1" applyAlignment="1">
      <alignment vertical="center"/>
    </xf>
    <xf numFmtId="3" fontId="14" fillId="0" borderId="1" xfId="47" applyNumberFormat="1" applyFont="1" applyFill="1" applyBorder="1" applyAlignment="1">
      <alignment vertical="center"/>
    </xf>
    <xf numFmtId="3" fontId="5" fillId="0" borderId="1" xfId="47" applyNumberFormat="1" applyFont="1" applyFill="1" applyBorder="1" applyAlignment="1">
      <alignment horizontal="right" vertical="center" indent="2"/>
    </xf>
    <xf numFmtId="0" fontId="42" fillId="0" borderId="0" xfId="47" applyFont="1" applyAlignment="1">
      <alignment vertical="center"/>
    </xf>
    <xf numFmtId="0" fontId="14" fillId="0" borderId="1" xfId="47" applyFont="1" applyBorder="1" applyAlignment="1">
      <alignment vertical="center"/>
    </xf>
    <xf numFmtId="0" fontId="14" fillId="4" borderId="1" xfId="47" applyFont="1" applyFill="1" applyBorder="1" applyAlignment="1">
      <alignment vertical="center"/>
    </xf>
    <xf numFmtId="165" fontId="14" fillId="0" borderId="0" xfId="2" applyNumberFormat="1" applyFont="1" applyFill="1" applyAlignment="1">
      <alignment vertical="center"/>
    </xf>
    <xf numFmtId="0" fontId="14" fillId="12" borderId="1" xfId="47" applyFont="1" applyFill="1" applyBorder="1" applyAlignment="1">
      <alignment horizontal="left" vertical="center"/>
    </xf>
    <xf numFmtId="3" fontId="14" fillId="12" borderId="1" xfId="47" applyNumberFormat="1" applyFont="1" applyFill="1" applyBorder="1" applyAlignment="1">
      <alignment vertical="center"/>
    </xf>
    <xf numFmtId="3" fontId="18" fillId="12" borderId="1" xfId="47" applyNumberFormat="1" applyFont="1" applyFill="1" applyBorder="1" applyAlignment="1">
      <alignment vertical="center"/>
    </xf>
    <xf numFmtId="0" fontId="40" fillId="0" borderId="0" xfId="47" applyFont="1" applyAlignment="1">
      <alignment vertical="center"/>
    </xf>
    <xf numFmtId="3" fontId="14" fillId="12" borderId="1" xfId="47" applyNumberFormat="1" applyFont="1" applyFill="1" applyBorder="1" applyAlignment="1">
      <alignment horizontal="right" vertical="center" indent="2"/>
    </xf>
    <xf numFmtId="3" fontId="40" fillId="12" borderId="1" xfId="47" applyNumberFormat="1" applyFont="1" applyFill="1" applyBorder="1" applyAlignment="1">
      <alignment vertical="center"/>
    </xf>
    <xf numFmtId="0" fontId="43" fillId="0" borderId="0" xfId="47" applyFont="1" applyAlignment="1">
      <alignment vertical="center"/>
    </xf>
    <xf numFmtId="0" fontId="14" fillId="13" borderId="1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3" fontId="14" fillId="13" borderId="1" xfId="0" applyNumberFormat="1" applyFont="1" applyFill="1" applyBorder="1" applyAlignment="1">
      <alignment vertical="center"/>
    </xf>
    <xf numFmtId="3" fontId="18" fillId="13" borderId="1" xfId="0" applyNumberFormat="1" applyFont="1" applyFill="1" applyBorder="1" applyAlignment="1">
      <alignment vertical="center"/>
    </xf>
    <xf numFmtId="3" fontId="14" fillId="0" borderId="1" xfId="0" applyNumberFormat="1" applyFont="1" applyFill="1" applyBorder="1" applyAlignment="1">
      <alignment vertical="center"/>
    </xf>
    <xf numFmtId="3" fontId="14" fillId="13" borderId="1" xfId="0" applyNumberFormat="1" applyFont="1" applyFill="1" applyBorder="1" applyAlignment="1">
      <alignment horizontal="right" vertical="center" indent="2"/>
    </xf>
    <xf numFmtId="3" fontId="40" fillId="13" borderId="1" xfId="0" applyNumberFormat="1" applyFont="1" applyFill="1" applyBorder="1" applyAlignment="1">
      <alignment vertical="center"/>
    </xf>
    <xf numFmtId="3" fontId="43" fillId="0" borderId="0" xfId="47" applyNumberFormat="1" applyFont="1" applyAlignment="1">
      <alignment vertical="center"/>
    </xf>
    <xf numFmtId="0" fontId="44" fillId="0" borderId="0" xfId="47" applyFont="1" applyAlignment="1">
      <alignment vertical="center"/>
    </xf>
    <xf numFmtId="0" fontId="5" fillId="0" borderId="0" xfId="0" applyFont="1" applyAlignment="1">
      <alignment vertical="center"/>
    </xf>
    <xf numFmtId="3" fontId="11" fillId="3" borderId="0" xfId="47" applyNumberFormat="1" applyFont="1" applyFill="1" applyBorder="1" applyAlignment="1">
      <alignment vertical="center"/>
    </xf>
    <xf numFmtId="3" fontId="11" fillId="0" borderId="0" xfId="47" applyNumberFormat="1" applyFont="1" applyFill="1" applyBorder="1" applyAlignment="1">
      <alignment vertical="center"/>
    </xf>
    <xf numFmtId="0" fontId="45" fillId="14" borderId="1" xfId="47" applyFont="1" applyFill="1" applyBorder="1" applyAlignment="1" applyProtection="1">
      <alignment horizontal="left" vertical="center"/>
    </xf>
    <xf numFmtId="0" fontId="19" fillId="4" borderId="1" xfId="47" applyFont="1" applyFill="1" applyBorder="1" applyAlignment="1" applyProtection="1">
      <alignment vertical="center"/>
    </xf>
    <xf numFmtId="0" fontId="19" fillId="0" borderId="1" xfId="47" applyFont="1" applyBorder="1" applyAlignment="1" applyProtection="1">
      <alignment horizontal="left" vertical="center"/>
    </xf>
    <xf numFmtId="3" fontId="45" fillId="14" borderId="1" xfId="47" applyNumberFormat="1" applyFont="1" applyFill="1" applyBorder="1" applyAlignment="1" applyProtection="1">
      <alignment vertical="center"/>
    </xf>
    <xf numFmtId="3" fontId="11" fillId="8" borderId="1" xfId="47" applyNumberFormat="1" applyFont="1" applyFill="1" applyBorder="1" applyAlignment="1">
      <alignment vertical="center"/>
    </xf>
    <xf numFmtId="0" fontId="5" fillId="0" borderId="0" xfId="47" applyFont="1" applyAlignment="1">
      <alignment vertical="center"/>
    </xf>
    <xf numFmtId="3" fontId="8" fillId="0" borderId="1" xfId="47" applyNumberFormat="1" applyFont="1" applyFill="1" applyBorder="1" applyAlignment="1">
      <alignment vertical="center"/>
    </xf>
    <xf numFmtId="3" fontId="11" fillId="8" borderId="1" xfId="47" applyNumberFormat="1" applyFont="1" applyFill="1" applyBorder="1" applyAlignment="1">
      <alignment vertical="center"/>
    </xf>
    <xf numFmtId="0" fontId="22" fillId="0" borderId="1" xfId="47" applyFont="1" applyFill="1" applyBorder="1" applyAlignment="1">
      <alignment horizontal="left" vertical="center"/>
    </xf>
    <xf numFmtId="0" fontId="22" fillId="0" borderId="1" xfId="47" applyFont="1" applyFill="1" applyBorder="1" applyAlignment="1">
      <alignment horizontal="left" vertical="center"/>
    </xf>
    <xf numFmtId="0" fontId="22" fillId="0" borderId="1" xfId="47" applyFont="1" applyFill="1" applyBorder="1" applyAlignment="1">
      <alignment horizontal="left" vertical="center"/>
    </xf>
    <xf numFmtId="0" fontId="22" fillId="0" borderId="1" xfId="47" applyFont="1" applyFill="1" applyBorder="1" applyAlignment="1">
      <alignment horizontal="left" vertical="center"/>
    </xf>
    <xf numFmtId="0" fontId="22" fillId="0" borderId="1" xfId="47" applyFont="1" applyFill="1" applyBorder="1" applyAlignment="1">
      <alignment horizontal="left" vertical="center"/>
    </xf>
    <xf numFmtId="0" fontId="22" fillId="0" borderId="1" xfId="47" applyFont="1" applyFill="1" applyBorder="1" applyAlignment="1">
      <alignment horizontal="left" vertical="center"/>
    </xf>
    <xf numFmtId="0" fontId="22" fillId="0" borderId="1" xfId="47" applyFont="1" applyFill="1" applyBorder="1" applyAlignment="1">
      <alignment horizontal="left" vertical="center"/>
    </xf>
    <xf numFmtId="0" fontId="22" fillId="0" borderId="1" xfId="47" applyFont="1" applyFill="1" applyBorder="1" applyAlignment="1">
      <alignment horizontal="left" vertical="center"/>
    </xf>
    <xf numFmtId="0" fontId="0" fillId="0" borderId="0" xfId="0"/>
    <xf numFmtId="165" fontId="7" fillId="0" borderId="0" xfId="2" applyNumberFormat="1" applyFont="1" applyFill="1" applyAlignment="1">
      <alignment vertical="center"/>
    </xf>
    <xf numFmtId="0" fontId="7" fillId="0" borderId="0" xfId="47" applyFont="1" applyAlignment="1">
      <alignment vertical="center"/>
    </xf>
    <xf numFmtId="0" fontId="7" fillId="4" borderId="1" xfId="47" applyFont="1" applyFill="1" applyBorder="1" applyAlignment="1">
      <alignment vertical="center"/>
    </xf>
    <xf numFmtId="0" fontId="19" fillId="0" borderId="0" xfId="47" applyFont="1" applyAlignment="1">
      <alignment vertical="center"/>
    </xf>
    <xf numFmtId="0" fontId="22" fillId="4" borderId="1" xfId="47" applyFont="1" applyFill="1" applyBorder="1" applyAlignment="1">
      <alignment vertical="center"/>
    </xf>
    <xf numFmtId="0" fontId="7" fillId="0" borderId="1" xfId="47" applyFont="1" applyFill="1" applyBorder="1" applyAlignment="1">
      <alignment horizontal="left" vertical="center"/>
    </xf>
    <xf numFmtId="3" fontId="11" fillId="0" borderId="1" xfId="47" applyNumberFormat="1" applyFont="1" applyFill="1" applyBorder="1" applyAlignment="1">
      <alignment vertical="center"/>
    </xf>
    <xf numFmtId="3" fontId="29" fillId="0" borderId="1" xfId="47" applyNumberFormat="1" applyFont="1" applyFill="1" applyBorder="1" applyAlignment="1">
      <alignment vertical="center"/>
    </xf>
    <xf numFmtId="3" fontId="31" fillId="0" borderId="1" xfId="47" applyNumberFormat="1" applyFont="1" applyFill="1" applyBorder="1" applyAlignment="1">
      <alignment vertical="center"/>
    </xf>
    <xf numFmtId="0" fontId="22" fillId="0" borderId="1" xfId="47" applyFont="1" applyFill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0" fillId="0" borderId="0" xfId="0"/>
    <xf numFmtId="165" fontId="7" fillId="0" borderId="0" xfId="2" applyNumberFormat="1" applyFont="1" applyFill="1" applyAlignment="1">
      <alignment vertical="center"/>
    </xf>
    <xf numFmtId="0" fontId="7" fillId="0" borderId="0" xfId="47" applyFont="1" applyAlignment="1">
      <alignment vertical="center"/>
    </xf>
    <xf numFmtId="0" fontId="7" fillId="4" borderId="1" xfId="47" applyFont="1" applyFill="1" applyBorder="1" applyAlignment="1">
      <alignment vertical="center"/>
    </xf>
    <xf numFmtId="0" fontId="19" fillId="0" borderId="0" xfId="47" applyFont="1" applyAlignment="1">
      <alignment vertical="center"/>
    </xf>
    <xf numFmtId="3" fontId="11" fillId="0" borderId="1" xfId="47" applyNumberFormat="1" applyFont="1" applyFill="1" applyBorder="1" applyAlignment="1">
      <alignment vertical="center"/>
    </xf>
    <xf numFmtId="3" fontId="29" fillId="0" borderId="1" xfId="47" applyNumberFormat="1" applyFont="1" applyFill="1" applyBorder="1" applyAlignment="1">
      <alignment vertical="center"/>
    </xf>
    <xf numFmtId="3" fontId="31" fillId="0" borderId="1" xfId="47" applyNumberFormat="1" applyFont="1" applyFill="1" applyBorder="1" applyAlignment="1">
      <alignment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19" fillId="0" borderId="1" xfId="47" applyFont="1" applyBorder="1" applyAlignment="1">
      <alignment horizontal="left" vertical="center"/>
    </xf>
    <xf numFmtId="0" fontId="0" fillId="0" borderId="0" xfId="0"/>
    <xf numFmtId="165" fontId="7" fillId="0" borderId="0" xfId="2" applyNumberFormat="1" applyFont="1" applyFill="1" applyAlignment="1">
      <alignment vertical="center"/>
    </xf>
    <xf numFmtId="0" fontId="7" fillId="0" borderId="0" xfId="47" applyFont="1" applyAlignment="1">
      <alignment vertical="center"/>
    </xf>
    <xf numFmtId="0" fontId="7" fillId="4" borderId="1" xfId="47" applyFont="1" applyFill="1" applyBorder="1" applyAlignment="1">
      <alignment vertical="center"/>
    </xf>
    <xf numFmtId="0" fontId="19" fillId="0" borderId="1" xfId="47" applyFont="1" applyBorder="1" applyAlignment="1">
      <alignment horizontal="left" vertical="center"/>
    </xf>
    <xf numFmtId="3" fontId="11" fillId="0" borderId="1" xfId="47" applyNumberFormat="1" applyFont="1" applyFill="1" applyBorder="1" applyAlignment="1">
      <alignment vertical="center"/>
    </xf>
    <xf numFmtId="3" fontId="8" fillId="0" borderId="1" xfId="47" applyNumberFormat="1" applyFont="1" applyFill="1" applyBorder="1" applyAlignment="1">
      <alignment vertical="center"/>
    </xf>
    <xf numFmtId="3" fontId="31" fillId="0" borderId="1" xfId="47" applyNumberFormat="1" applyFont="1" applyFill="1" applyBorder="1" applyAlignment="1">
      <alignment vertical="center"/>
    </xf>
    <xf numFmtId="0" fontId="7" fillId="0" borderId="1" xfId="47" applyFont="1" applyBorder="1" applyAlignment="1">
      <alignment horizontal="left" vertical="center"/>
    </xf>
    <xf numFmtId="0" fontId="7" fillId="0" borderId="1" xfId="47" applyFont="1" applyBorder="1" applyAlignment="1">
      <alignment horizontal="left" vertical="center"/>
    </xf>
    <xf numFmtId="0" fontId="7" fillId="0" borderId="1" xfId="47" applyFont="1" applyBorder="1" applyAlignment="1">
      <alignment horizontal="left" vertical="center"/>
    </xf>
    <xf numFmtId="0" fontId="7" fillId="0" borderId="1" xfId="47" applyFont="1" applyBorder="1" applyAlignment="1">
      <alignment horizontal="left" vertical="center"/>
    </xf>
    <xf numFmtId="0" fontId="7" fillId="0" borderId="1" xfId="47" applyFont="1" applyBorder="1" applyAlignment="1">
      <alignment horizontal="left" vertical="center"/>
    </xf>
    <xf numFmtId="0" fontId="7" fillId="0" borderId="1" xfId="47" applyFont="1" applyBorder="1" applyAlignment="1">
      <alignment horizontal="left" vertical="center"/>
    </xf>
    <xf numFmtId="0" fontId="7" fillId="0" borderId="1" xfId="47" applyFont="1" applyBorder="1" applyAlignment="1">
      <alignment horizontal="left" vertical="center"/>
    </xf>
    <xf numFmtId="0" fontId="7" fillId="0" borderId="1" xfId="47" applyFont="1" applyBorder="1" applyAlignment="1">
      <alignment horizontal="left" vertical="center"/>
    </xf>
    <xf numFmtId="0" fontId="7" fillId="0" borderId="1" xfId="47" applyFont="1" applyBorder="1" applyAlignment="1">
      <alignment horizontal="left"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7" fillId="4" borderId="1" xfId="47" applyFont="1" applyFill="1" applyBorder="1" applyAlignment="1">
      <alignment vertical="center"/>
    </xf>
    <xf numFmtId="0" fontId="6" fillId="6" borderId="1" xfId="47" applyFont="1" applyFill="1" applyBorder="1" applyAlignment="1">
      <alignment horizontal="left" vertical="center"/>
    </xf>
    <xf numFmtId="0" fontId="6" fillId="6" borderId="1" xfId="47" applyFont="1" applyFill="1" applyBorder="1" applyAlignment="1">
      <alignment horizontal="left" vertical="center"/>
    </xf>
    <xf numFmtId="0" fontId="6" fillId="6" borderId="1" xfId="47" applyFont="1" applyFill="1" applyBorder="1" applyAlignment="1">
      <alignment horizontal="left" vertical="center"/>
    </xf>
    <xf numFmtId="0" fontId="6" fillId="6" borderId="1" xfId="47" applyFont="1" applyFill="1" applyBorder="1" applyAlignment="1">
      <alignment horizontal="left" vertical="center"/>
    </xf>
    <xf numFmtId="0" fontId="6" fillId="6" borderId="1" xfId="47" applyFont="1" applyFill="1" applyBorder="1" applyAlignment="1">
      <alignment horizontal="left" vertical="center"/>
    </xf>
    <xf numFmtId="0" fontId="6" fillId="6" borderId="1" xfId="47" applyFont="1" applyFill="1" applyBorder="1" applyAlignment="1">
      <alignment horizontal="left" vertical="center"/>
    </xf>
    <xf numFmtId="0" fontId="6" fillId="6" borderId="1" xfId="47" applyFont="1" applyFill="1" applyBorder="1" applyAlignment="1">
      <alignment horizontal="left" vertical="center"/>
    </xf>
    <xf numFmtId="0" fontId="6" fillId="6" borderId="1" xfId="47" applyFont="1" applyFill="1" applyBorder="1" applyAlignment="1">
      <alignment horizontal="left" vertical="center"/>
    </xf>
    <xf numFmtId="0" fontId="6" fillId="6" borderId="1" xfId="47" applyFont="1" applyFill="1" applyBorder="1" applyAlignment="1">
      <alignment horizontal="left" vertical="center"/>
    </xf>
    <xf numFmtId="0" fontId="14" fillId="11" borderId="3" xfId="47" applyFont="1" applyFill="1" applyBorder="1" applyAlignment="1">
      <alignment horizontal="center" vertical="center"/>
    </xf>
    <xf numFmtId="0" fontId="14" fillId="11" borderId="4" xfId="47" applyFont="1" applyFill="1" applyBorder="1" applyAlignment="1">
      <alignment horizontal="center" vertical="center"/>
    </xf>
    <xf numFmtId="0" fontId="14" fillId="0" borderId="1" xfId="47" applyFont="1" applyFill="1" applyBorder="1" applyAlignment="1">
      <alignment horizontal="center" vertical="center"/>
    </xf>
    <xf numFmtId="0" fontId="14" fillId="3" borderId="3" xfId="47" applyFont="1" applyFill="1" applyBorder="1" applyAlignment="1">
      <alignment horizontal="center" vertical="center" wrapText="1"/>
    </xf>
    <xf numFmtId="0" fontId="14" fillId="3" borderId="4" xfId="47" applyFont="1" applyFill="1" applyBorder="1" applyAlignment="1">
      <alignment horizontal="center" vertical="center" wrapText="1"/>
    </xf>
    <xf numFmtId="0" fontId="14" fillId="4" borderId="3" xfId="47" applyFont="1" applyFill="1" applyBorder="1" applyAlignment="1">
      <alignment horizontal="center" vertical="center" wrapText="1"/>
    </xf>
    <xf numFmtId="0" fontId="14" fillId="4" borderId="4" xfId="47" applyFont="1" applyFill="1" applyBorder="1" applyAlignment="1">
      <alignment horizontal="center" vertical="center" wrapText="1"/>
    </xf>
    <xf numFmtId="0" fontId="41" fillId="2" borderId="3" xfId="47" applyFont="1" applyFill="1" applyBorder="1" applyAlignment="1">
      <alignment horizontal="center" vertical="center" wrapText="1"/>
    </xf>
    <xf numFmtId="0" fontId="41" fillId="2" borderId="4" xfId="47" applyFont="1" applyFill="1" applyBorder="1" applyAlignment="1">
      <alignment horizontal="center" vertical="center" wrapText="1"/>
    </xf>
    <xf numFmtId="0" fontId="12" fillId="0" borderId="1" xfId="47" applyFont="1" applyFill="1" applyBorder="1" applyAlignment="1">
      <alignment horizontal="center" vertical="center"/>
    </xf>
    <xf numFmtId="0" fontId="13" fillId="3" borderId="3" xfId="47" applyFont="1" applyFill="1" applyBorder="1" applyAlignment="1">
      <alignment horizontal="center" vertical="center" wrapText="1"/>
    </xf>
    <xf numFmtId="0" fontId="13" fillId="3" borderId="4" xfId="47" applyFont="1" applyFill="1" applyBorder="1" applyAlignment="1">
      <alignment horizontal="center" vertical="center" wrapText="1"/>
    </xf>
    <xf numFmtId="0" fontId="39" fillId="4" borderId="3" xfId="47" applyFont="1" applyFill="1" applyBorder="1" applyAlignment="1">
      <alignment horizontal="center" vertical="center" wrapText="1"/>
    </xf>
    <xf numFmtId="0" fontId="39" fillId="4" borderId="4" xfId="47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</cellXfs>
  <cellStyles count="4442">
    <cellStyle name="Euro" xfId="1"/>
    <cellStyle name="Euro 2" xfId="3"/>
    <cellStyle name="Euro 2 10" xfId="358"/>
    <cellStyle name="Euro 2 11" xfId="402"/>
    <cellStyle name="Euro 2 12" xfId="489"/>
    <cellStyle name="Euro 2 13" xfId="533"/>
    <cellStyle name="Euro 2 14" xfId="534"/>
    <cellStyle name="Euro 2 15" xfId="536"/>
    <cellStyle name="Euro 2 16" xfId="580"/>
    <cellStyle name="Euro 2 17" xfId="709"/>
    <cellStyle name="Euro 2 18" xfId="766"/>
    <cellStyle name="Euro 2 19" xfId="833"/>
    <cellStyle name="Euro 2 2" xfId="50"/>
    <cellStyle name="Euro 2 20" xfId="851"/>
    <cellStyle name="Euro 2 21" xfId="910"/>
    <cellStyle name="Euro 2 22" xfId="1201"/>
    <cellStyle name="Euro 2 23" xfId="985"/>
    <cellStyle name="Euro 2 24" xfId="1465"/>
    <cellStyle name="Euro 2 25" xfId="1326"/>
    <cellStyle name="Euro 2 26" xfId="1023"/>
    <cellStyle name="Euro 2 27" xfId="1040"/>
    <cellStyle name="Euro 2 28" xfId="1635"/>
    <cellStyle name="Euro 2 29" xfId="1684"/>
    <cellStyle name="Euro 2 3" xfId="49"/>
    <cellStyle name="Euro 2 30" xfId="1733"/>
    <cellStyle name="Euro 2 31" xfId="1782"/>
    <cellStyle name="Euro 2 32" xfId="1831"/>
    <cellStyle name="Euro 2 33" xfId="1880"/>
    <cellStyle name="Euro 2 34" xfId="1929"/>
    <cellStyle name="Euro 2 35" xfId="1978"/>
    <cellStyle name="Euro 2 36" xfId="2027"/>
    <cellStyle name="Euro 2 37" xfId="2076"/>
    <cellStyle name="Euro 2 38" xfId="2125"/>
    <cellStyle name="Euro 2 39" xfId="2172"/>
    <cellStyle name="Euro 2 4" xfId="94"/>
    <cellStyle name="Euro 2 40" xfId="2218"/>
    <cellStyle name="Euro 2 41" xfId="2264"/>
    <cellStyle name="Euro 2 42" xfId="2310"/>
    <cellStyle name="Euro 2 43" xfId="2356"/>
    <cellStyle name="Euro 2 44" xfId="2402"/>
    <cellStyle name="Euro 2 45" xfId="2448"/>
    <cellStyle name="Euro 2 46" xfId="2494"/>
    <cellStyle name="Euro 2 47" xfId="2539"/>
    <cellStyle name="Euro 2 48" xfId="2583"/>
    <cellStyle name="Euro 2 49" xfId="2627"/>
    <cellStyle name="Euro 2 5" xfId="138"/>
    <cellStyle name="Euro 2 50" xfId="2670"/>
    <cellStyle name="Euro 2 51" xfId="2713"/>
    <cellStyle name="Euro 2 52" xfId="2756"/>
    <cellStyle name="Euro 2 53" xfId="2798"/>
    <cellStyle name="Euro 2 54" xfId="2839"/>
    <cellStyle name="Euro 2 55" xfId="2880"/>
    <cellStyle name="Euro 2 56" xfId="2921"/>
    <cellStyle name="Euro 2 57" xfId="2961"/>
    <cellStyle name="Euro 2 58" xfId="3001"/>
    <cellStyle name="Euro 2 59" xfId="3040"/>
    <cellStyle name="Euro 2 6" xfId="182"/>
    <cellStyle name="Euro 2 60" xfId="3078"/>
    <cellStyle name="Euro 2 61" xfId="3116"/>
    <cellStyle name="Euro 2 62" xfId="3153"/>
    <cellStyle name="Euro 2 63" xfId="3189"/>
    <cellStyle name="Euro 2 64" xfId="3225"/>
    <cellStyle name="Euro 2 65" xfId="3261"/>
    <cellStyle name="Euro 2 66" xfId="3296"/>
    <cellStyle name="Euro 2 67" xfId="3331"/>
    <cellStyle name="Euro 2 68" xfId="3363"/>
    <cellStyle name="Euro 2 69" xfId="3394"/>
    <cellStyle name="Euro 2 7" xfId="226"/>
    <cellStyle name="Euro 2 70" xfId="3422"/>
    <cellStyle name="Euro 2 71" xfId="3449"/>
    <cellStyle name="Euro 2 72" xfId="3475"/>
    <cellStyle name="Euro 2 73" xfId="3500"/>
    <cellStyle name="Euro 2 74" xfId="3523"/>
    <cellStyle name="Euro 2 75" xfId="3610"/>
    <cellStyle name="Euro 2 76" xfId="3768"/>
    <cellStyle name="Euro 2 77" xfId="3763"/>
    <cellStyle name="Euro 2 78" xfId="3964"/>
    <cellStyle name="Euro 2 79" xfId="3877"/>
    <cellStyle name="Euro 2 8" xfId="270"/>
    <cellStyle name="Euro 2 80" xfId="3860"/>
    <cellStyle name="Euro 2 81" xfId="4243"/>
    <cellStyle name="Euro 2 82" xfId="3981"/>
    <cellStyle name="Euro 2 83" xfId="4035"/>
    <cellStyle name="Euro 2 9" xfId="314"/>
    <cellStyle name="Euro 3" xfId="4"/>
    <cellStyle name="Euro 3 10" xfId="403"/>
    <cellStyle name="Euro 3 11" xfId="446"/>
    <cellStyle name="Euro 3 12" xfId="490"/>
    <cellStyle name="Euro 3 13" xfId="535"/>
    <cellStyle name="Euro 3 14" xfId="537"/>
    <cellStyle name="Euro 3 15" xfId="581"/>
    <cellStyle name="Euro 3 16" xfId="624"/>
    <cellStyle name="Euro 3 17" xfId="710"/>
    <cellStyle name="Euro 3 18" xfId="767"/>
    <cellStyle name="Euro 3 19" xfId="822"/>
    <cellStyle name="Euro 3 2" xfId="51"/>
    <cellStyle name="Euro 3 20" xfId="868"/>
    <cellStyle name="Euro 3 21" xfId="911"/>
    <cellStyle name="Euro 3 22" xfId="1159"/>
    <cellStyle name="Euro 3 23" xfId="991"/>
    <cellStyle name="Euro 3 24" xfId="1196"/>
    <cellStyle name="Euro 3 25" xfId="1260"/>
    <cellStyle name="Euro 3 26" xfId="1180"/>
    <cellStyle name="Euro 3 27" xfId="1224"/>
    <cellStyle name="Euro 3 28" xfId="1529"/>
    <cellStyle name="Euro 3 29" xfId="1205"/>
    <cellStyle name="Euro 3 3" xfId="95"/>
    <cellStyle name="Euro 3 30" xfId="1566"/>
    <cellStyle name="Euro 3 31" xfId="1471"/>
    <cellStyle name="Euro 3 32" xfId="1127"/>
    <cellStyle name="Euro 3 33" xfId="1533"/>
    <cellStyle name="Euro 3 34" xfId="1013"/>
    <cellStyle name="Euro 3 35" xfId="1621"/>
    <cellStyle name="Euro 3 36" xfId="1670"/>
    <cellStyle name="Euro 3 37" xfId="1719"/>
    <cellStyle name="Euro 3 38" xfId="1768"/>
    <cellStyle name="Euro 3 39" xfId="1817"/>
    <cellStyle name="Euro 3 4" xfId="139"/>
    <cellStyle name="Euro 3 40" xfId="1866"/>
    <cellStyle name="Euro 3 41" xfId="1915"/>
    <cellStyle name="Euro 3 42" xfId="1964"/>
    <cellStyle name="Euro 3 43" xfId="2013"/>
    <cellStyle name="Euro 3 44" xfId="2062"/>
    <cellStyle name="Euro 3 45" xfId="2111"/>
    <cellStyle name="Euro 3 46" xfId="2158"/>
    <cellStyle name="Euro 3 47" xfId="2204"/>
    <cellStyle name="Euro 3 48" xfId="2250"/>
    <cellStyle name="Euro 3 49" xfId="2296"/>
    <cellStyle name="Euro 3 5" xfId="183"/>
    <cellStyle name="Euro 3 50" xfId="2342"/>
    <cellStyle name="Euro 3 51" xfId="2388"/>
    <cellStyle name="Euro 3 52" xfId="2434"/>
    <cellStyle name="Euro 3 53" xfId="2480"/>
    <cellStyle name="Euro 3 54" xfId="2525"/>
    <cellStyle name="Euro 3 55" xfId="2569"/>
    <cellStyle name="Euro 3 56" xfId="2613"/>
    <cellStyle name="Euro 3 57" xfId="2656"/>
    <cellStyle name="Euro 3 58" xfId="2699"/>
    <cellStyle name="Euro 3 59" xfId="2742"/>
    <cellStyle name="Euro 3 6" xfId="227"/>
    <cellStyle name="Euro 3 60" xfId="2784"/>
    <cellStyle name="Euro 3 61" xfId="2825"/>
    <cellStyle name="Euro 3 62" xfId="2866"/>
    <cellStyle name="Euro 3 63" xfId="2907"/>
    <cellStyle name="Euro 3 64" xfId="2947"/>
    <cellStyle name="Euro 3 65" xfId="2987"/>
    <cellStyle name="Euro 3 66" xfId="3027"/>
    <cellStyle name="Euro 3 67" xfId="3065"/>
    <cellStyle name="Euro 3 68" xfId="3103"/>
    <cellStyle name="Euro 3 69" xfId="3140"/>
    <cellStyle name="Euro 3 7" xfId="271"/>
    <cellStyle name="Euro 3 70" xfId="3176"/>
    <cellStyle name="Euro 3 71" xfId="3212"/>
    <cellStyle name="Euro 3 72" xfId="3248"/>
    <cellStyle name="Euro 3 73" xfId="3283"/>
    <cellStyle name="Euro 3 74" xfId="3318"/>
    <cellStyle name="Euro 3 75" xfId="3611"/>
    <cellStyle name="Euro 3 76" xfId="3746"/>
    <cellStyle name="Euro 3 77" xfId="4040"/>
    <cellStyle name="Euro 3 78" xfId="4075"/>
    <cellStyle name="Euro 3 79" xfId="4242"/>
    <cellStyle name="Euro 3 8" xfId="315"/>
    <cellStyle name="Euro 3 80" xfId="4131"/>
    <cellStyle name="Euro 3 81" xfId="3687"/>
    <cellStyle name="Euro 3 82" xfId="3866"/>
    <cellStyle name="Euro 3 83" xfId="4184"/>
    <cellStyle name="Euro 3 9" xfId="359"/>
    <cellStyle name="Euro 4" xfId="5"/>
    <cellStyle name="Euro 4 10" xfId="404"/>
    <cellStyle name="Euro 4 11" xfId="447"/>
    <cellStyle name="Euro 4 12" xfId="491"/>
    <cellStyle name="Euro 4 13" xfId="538"/>
    <cellStyle name="Euro 4 14" xfId="582"/>
    <cellStyle name="Euro 4 15" xfId="625"/>
    <cellStyle name="Euro 4 16" xfId="667"/>
    <cellStyle name="Euro 4 17" xfId="711"/>
    <cellStyle name="Euro 4 18" xfId="768"/>
    <cellStyle name="Euro 4 19" xfId="816"/>
    <cellStyle name="Euro 4 2" xfId="52"/>
    <cellStyle name="Euro 4 20" xfId="829"/>
    <cellStyle name="Euro 4 21" xfId="912"/>
    <cellStyle name="Euro 4 22" xfId="1120"/>
    <cellStyle name="Euro 4 23" xfId="1495"/>
    <cellStyle name="Euro 4 24" xfId="1324"/>
    <cellStyle name="Euro 4 25" xfId="1137"/>
    <cellStyle name="Euro 4 26" xfId="1035"/>
    <cellStyle name="Euro 4 27" xfId="1269"/>
    <cellStyle name="Euro 4 28" xfId="1448"/>
    <cellStyle name="Euro 4 29" xfId="1018"/>
    <cellStyle name="Euro 4 3" xfId="96"/>
    <cellStyle name="Euro 4 30" xfId="1388"/>
    <cellStyle name="Euro 4 31" xfId="1520"/>
    <cellStyle name="Euro 4 32" xfId="1063"/>
    <cellStyle name="Euro 4 33" xfId="1350"/>
    <cellStyle name="Euro 4 34" xfId="1369"/>
    <cellStyle name="Euro 4 35" xfId="972"/>
    <cellStyle name="Euro 4 36" xfId="1390"/>
    <cellStyle name="Euro 4 37" xfId="1405"/>
    <cellStyle name="Euro 4 38" xfId="1404"/>
    <cellStyle name="Euro 4 39" xfId="1440"/>
    <cellStyle name="Euro 4 4" xfId="140"/>
    <cellStyle name="Euro 4 40" xfId="1328"/>
    <cellStyle name="Euro 4 41" xfId="1074"/>
    <cellStyle name="Euro 4 42" xfId="1538"/>
    <cellStyle name="Euro 4 43" xfId="1510"/>
    <cellStyle name="Euro 4 44" xfId="1364"/>
    <cellStyle name="Euro 4 45" xfId="1442"/>
    <cellStyle name="Euro 4 46" xfId="1286"/>
    <cellStyle name="Euro 4 47" xfId="1409"/>
    <cellStyle name="Euro 4 48" xfId="1131"/>
    <cellStyle name="Euro 4 49" xfId="1304"/>
    <cellStyle name="Euro 4 5" xfId="184"/>
    <cellStyle name="Euro 4 50" xfId="1294"/>
    <cellStyle name="Euro 4 51" xfId="1025"/>
    <cellStyle name="Euro 4 52" xfId="1048"/>
    <cellStyle name="Euro 4 53" xfId="1351"/>
    <cellStyle name="Euro 4 54" xfId="1333"/>
    <cellStyle name="Euro 4 55" xfId="1407"/>
    <cellStyle name="Euro 4 56" xfId="1247"/>
    <cellStyle name="Euro 4 57" xfId="1028"/>
    <cellStyle name="Euro 4 58" xfId="1541"/>
    <cellStyle name="Euro 4 59" xfId="1397"/>
    <cellStyle name="Euro 4 6" xfId="228"/>
    <cellStyle name="Euro 4 60" xfId="1132"/>
    <cellStyle name="Euro 4 61" xfId="1264"/>
    <cellStyle name="Euro 4 62" xfId="978"/>
    <cellStyle name="Euro 4 63" xfId="1116"/>
    <cellStyle name="Euro 4 64" xfId="1009"/>
    <cellStyle name="Euro 4 65" xfId="1114"/>
    <cellStyle name="Euro 4 66" xfId="1036"/>
    <cellStyle name="Euro 4 67" xfId="1230"/>
    <cellStyle name="Euro 4 68" xfId="1182"/>
    <cellStyle name="Euro 4 69" xfId="1144"/>
    <cellStyle name="Euro 4 7" xfId="272"/>
    <cellStyle name="Euro 4 70" xfId="1381"/>
    <cellStyle name="Euro 4 71" xfId="1173"/>
    <cellStyle name="Euro 4 72" xfId="1532"/>
    <cellStyle name="Euro 4 73" xfId="1084"/>
    <cellStyle name="Euro 4 74" xfId="1038"/>
    <cellStyle name="Euro 4 75" xfId="3612"/>
    <cellStyle name="Euro 4 76" xfId="3726"/>
    <cellStyle name="Euro 4 77" xfId="3827"/>
    <cellStyle name="Euro 4 78" xfId="3901"/>
    <cellStyle name="Euro 4 79" xfId="3779"/>
    <cellStyle name="Euro 4 8" xfId="316"/>
    <cellStyle name="Euro 4 80" xfId="4056"/>
    <cellStyle name="Euro 4 81" xfId="4274"/>
    <cellStyle name="Euro 4 82" xfId="4312"/>
    <cellStyle name="Euro 4 83" xfId="4344"/>
    <cellStyle name="Euro 4 9" xfId="360"/>
    <cellStyle name="Euro 5" xfId="6"/>
    <cellStyle name="Euro 5 10" xfId="405"/>
    <cellStyle name="Euro 5 11" xfId="448"/>
    <cellStyle name="Euro 5 12" xfId="492"/>
    <cellStyle name="Euro 5 13" xfId="539"/>
    <cellStyle name="Euro 5 14" xfId="583"/>
    <cellStyle name="Euro 5 15" xfId="626"/>
    <cellStyle name="Euro 5 16" xfId="668"/>
    <cellStyle name="Euro 5 17" xfId="712"/>
    <cellStyle name="Euro 5 18" xfId="769"/>
    <cellStyle name="Euro 5 19" xfId="899"/>
    <cellStyle name="Euro 5 2" xfId="53"/>
    <cellStyle name="Euro 5 20" xfId="855"/>
    <cellStyle name="Euro 5 21" xfId="913"/>
    <cellStyle name="Euro 5 22" xfId="1047"/>
    <cellStyle name="Euro 5 23" xfId="1386"/>
    <cellStyle name="Euro 5 24" xfId="1598"/>
    <cellStyle name="Euro 5 25" xfId="1647"/>
    <cellStyle name="Euro 5 26" xfId="1696"/>
    <cellStyle name="Euro 5 27" xfId="1745"/>
    <cellStyle name="Euro 5 28" xfId="1794"/>
    <cellStyle name="Euro 5 29" xfId="1843"/>
    <cellStyle name="Euro 5 3" xfId="97"/>
    <cellStyle name="Euro 5 30" xfId="1892"/>
    <cellStyle name="Euro 5 31" xfId="1941"/>
    <cellStyle name="Euro 5 32" xfId="1990"/>
    <cellStyle name="Euro 5 33" xfId="2039"/>
    <cellStyle name="Euro 5 34" xfId="2088"/>
    <cellStyle name="Euro 5 35" xfId="2136"/>
    <cellStyle name="Euro 5 36" xfId="2183"/>
    <cellStyle name="Euro 5 37" xfId="2229"/>
    <cellStyle name="Euro 5 38" xfId="2275"/>
    <cellStyle name="Euro 5 39" xfId="2321"/>
    <cellStyle name="Euro 5 4" xfId="141"/>
    <cellStyle name="Euro 5 40" xfId="2367"/>
    <cellStyle name="Euro 5 41" xfId="2413"/>
    <cellStyle name="Euro 5 42" xfId="2459"/>
    <cellStyle name="Euro 5 43" xfId="2505"/>
    <cellStyle name="Euro 5 44" xfId="2549"/>
    <cellStyle name="Euro 5 45" xfId="2593"/>
    <cellStyle name="Euro 5 46" xfId="2637"/>
    <cellStyle name="Euro 5 47" xfId="2680"/>
    <cellStyle name="Euro 5 48" xfId="2723"/>
    <cellStyle name="Euro 5 49" xfId="2766"/>
    <cellStyle name="Euro 5 5" xfId="185"/>
    <cellStyle name="Euro 5 50" xfId="2808"/>
    <cellStyle name="Euro 5 51" xfId="2849"/>
    <cellStyle name="Euro 5 52" xfId="2890"/>
    <cellStyle name="Euro 5 53" xfId="2930"/>
    <cellStyle name="Euro 5 54" xfId="2970"/>
    <cellStyle name="Euro 5 55" xfId="3010"/>
    <cellStyle name="Euro 5 56" xfId="3049"/>
    <cellStyle name="Euro 5 57" xfId="3087"/>
    <cellStyle name="Euro 5 58" xfId="3125"/>
    <cellStyle name="Euro 5 59" xfId="3162"/>
    <cellStyle name="Euro 5 6" xfId="229"/>
    <cellStyle name="Euro 5 60" xfId="3198"/>
    <cellStyle name="Euro 5 61" xfId="3234"/>
    <cellStyle name="Euro 5 62" xfId="3269"/>
    <cellStyle name="Euro 5 63" xfId="3304"/>
    <cellStyle name="Euro 5 64" xfId="3339"/>
    <cellStyle name="Euro 5 65" xfId="3370"/>
    <cellStyle name="Euro 5 66" xfId="3401"/>
    <cellStyle name="Euro 5 67" xfId="3429"/>
    <cellStyle name="Euro 5 68" xfId="3455"/>
    <cellStyle name="Euro 5 69" xfId="3481"/>
    <cellStyle name="Euro 5 7" xfId="273"/>
    <cellStyle name="Euro 5 70" xfId="3505"/>
    <cellStyle name="Euro 5 71" xfId="3528"/>
    <cellStyle name="Euro 5 72" xfId="3548"/>
    <cellStyle name="Euro 5 73" xfId="3564"/>
    <cellStyle name="Euro 5 74" xfId="3577"/>
    <cellStyle name="Euro 5 75" xfId="3613"/>
    <cellStyle name="Euro 5 76" xfId="3705"/>
    <cellStyle name="Euro 5 77" xfId="4227"/>
    <cellStyle name="Euro 5 78" xfId="4268"/>
    <cellStyle name="Euro 5 79" xfId="4306"/>
    <cellStyle name="Euro 5 8" xfId="317"/>
    <cellStyle name="Euro 5 80" xfId="4339"/>
    <cellStyle name="Euro 5 81" xfId="4367"/>
    <cellStyle name="Euro 5 82" xfId="4394"/>
    <cellStyle name="Euro 5 83" xfId="4414"/>
    <cellStyle name="Euro 5 9" xfId="361"/>
    <cellStyle name="Euro 6" xfId="7"/>
    <cellStyle name="Euro 6 10" xfId="406"/>
    <cellStyle name="Euro 6 11" xfId="449"/>
    <cellStyle name="Euro 6 12" xfId="493"/>
    <cellStyle name="Euro 6 13" xfId="540"/>
    <cellStyle name="Euro 6 14" xfId="584"/>
    <cellStyle name="Euro 6 15" xfId="627"/>
    <cellStyle name="Euro 6 16" xfId="669"/>
    <cellStyle name="Euro 6 17" xfId="713"/>
    <cellStyle name="Euro 6 18" xfId="770"/>
    <cellStyle name="Euro 6 19" xfId="898"/>
    <cellStyle name="Euro 6 2" xfId="54"/>
    <cellStyle name="Euro 6 20" xfId="830"/>
    <cellStyle name="Euro 6 21" xfId="914"/>
    <cellStyle name="Euro 6 22" xfId="1007"/>
    <cellStyle name="Euro 6 23" xfId="1195"/>
    <cellStyle name="Euro 6 24" xfId="1300"/>
    <cellStyle name="Euro 6 25" xfId="1446"/>
    <cellStyle name="Euro 6 26" xfId="1129"/>
    <cellStyle name="Euro 6 27" xfId="1455"/>
    <cellStyle name="Euro 6 28" xfId="1089"/>
    <cellStyle name="Euro 6 29" xfId="1537"/>
    <cellStyle name="Euro 6 3" xfId="98"/>
    <cellStyle name="Euro 6 30" xfId="1548"/>
    <cellStyle name="Euro 6 31" xfId="1012"/>
    <cellStyle name="Euro 6 32" xfId="1069"/>
    <cellStyle name="Euro 6 33" xfId="1110"/>
    <cellStyle name="Euro 6 34" xfId="1228"/>
    <cellStyle name="Euro 6 35" xfId="1376"/>
    <cellStyle name="Euro 6 36" xfId="1368"/>
    <cellStyle name="Euro 6 37" xfId="1094"/>
    <cellStyle name="Euro 6 38" xfId="1306"/>
    <cellStyle name="Euro 6 39" xfId="1218"/>
    <cellStyle name="Euro 6 4" xfId="142"/>
    <cellStyle name="Euro 6 40" xfId="1183"/>
    <cellStyle name="Euro 6 41" xfId="1105"/>
    <cellStyle name="Euro 6 42" xfId="1496"/>
    <cellStyle name="Euro 6 43" xfId="1282"/>
    <cellStyle name="Euro 6 44" xfId="1562"/>
    <cellStyle name="Euro 6 45" xfId="1011"/>
    <cellStyle name="Euro 6 46" xfId="1001"/>
    <cellStyle name="Euro 6 47" xfId="1424"/>
    <cellStyle name="Euro 6 48" xfId="1437"/>
    <cellStyle name="Euro 6 49" xfId="1438"/>
    <cellStyle name="Euro 6 5" xfId="186"/>
    <cellStyle name="Euro 6 50" xfId="1403"/>
    <cellStyle name="Euro 6 51" xfId="1519"/>
    <cellStyle name="Euro 6 52" xfId="965"/>
    <cellStyle name="Euro 6 53" xfId="1004"/>
    <cellStyle name="Euro 6 54" xfId="1312"/>
    <cellStyle name="Euro 6 55" xfId="1056"/>
    <cellStyle name="Euro 6 56" xfId="1618"/>
    <cellStyle name="Euro 6 57" xfId="1667"/>
    <cellStyle name="Euro 6 58" xfId="1716"/>
    <cellStyle name="Euro 6 59" xfId="1765"/>
    <cellStyle name="Euro 6 6" xfId="230"/>
    <cellStyle name="Euro 6 60" xfId="1814"/>
    <cellStyle name="Euro 6 61" xfId="1863"/>
    <cellStyle name="Euro 6 62" xfId="1912"/>
    <cellStyle name="Euro 6 63" xfId="1961"/>
    <cellStyle name="Euro 6 64" xfId="2010"/>
    <cellStyle name="Euro 6 65" xfId="2059"/>
    <cellStyle name="Euro 6 66" xfId="2108"/>
    <cellStyle name="Euro 6 67" xfId="2155"/>
    <cellStyle name="Euro 6 68" xfId="2201"/>
    <cellStyle name="Euro 6 69" xfId="2247"/>
    <cellStyle name="Euro 6 7" xfId="274"/>
    <cellStyle name="Euro 6 70" xfId="2293"/>
    <cellStyle name="Euro 6 71" xfId="2339"/>
    <cellStyle name="Euro 6 72" xfId="2385"/>
    <cellStyle name="Euro 6 73" xfId="2431"/>
    <cellStyle name="Euro 6 74" xfId="2477"/>
    <cellStyle name="Euro 6 75" xfId="3614"/>
    <cellStyle name="Euro 6 76" xfId="4162"/>
    <cellStyle name="Euro 6 77" xfId="3729"/>
    <cellStyle name="Euro 6 78" xfId="4209"/>
    <cellStyle name="Euro 6 79" xfId="3769"/>
    <cellStyle name="Euro 6 8" xfId="318"/>
    <cellStyle name="Euro 6 80" xfId="3760"/>
    <cellStyle name="Euro 6 81" xfId="3967"/>
    <cellStyle name="Euro 6 82" xfId="3738"/>
    <cellStyle name="Euro 6 83" xfId="3880"/>
    <cellStyle name="Euro 6 9" xfId="362"/>
    <cellStyle name="Euro 7" xfId="8"/>
    <cellStyle name="Euro 7 10" xfId="407"/>
    <cellStyle name="Euro 7 11" xfId="450"/>
    <cellStyle name="Euro 7 12" xfId="494"/>
    <cellStyle name="Euro 7 13" xfId="541"/>
    <cellStyle name="Euro 7 14" xfId="585"/>
    <cellStyle name="Euro 7 15" xfId="628"/>
    <cellStyle name="Euro 7 16" xfId="670"/>
    <cellStyle name="Euro 7 17" xfId="714"/>
    <cellStyle name="Euro 7 18" xfId="771"/>
    <cellStyle name="Euro 7 19" xfId="893"/>
    <cellStyle name="Euro 7 2" xfId="55"/>
    <cellStyle name="Euro 7 20" xfId="819"/>
    <cellStyle name="Euro 7 21" xfId="915"/>
    <cellStyle name="Euro 7 22" xfId="1104"/>
    <cellStyle name="Euro 7 23" xfId="1536"/>
    <cellStyle name="Euro 7 24" xfId="1588"/>
    <cellStyle name="Euro 7 25" xfId="1237"/>
    <cellStyle name="Euro 7 26" xfId="1490"/>
    <cellStyle name="Euro 7 27" xfId="1591"/>
    <cellStyle name="Euro 7 28" xfId="1640"/>
    <cellStyle name="Euro 7 29" xfId="1689"/>
    <cellStyle name="Euro 7 3" xfId="99"/>
    <cellStyle name="Euro 7 30" xfId="1738"/>
    <cellStyle name="Euro 7 31" xfId="1787"/>
    <cellStyle name="Euro 7 32" xfId="1836"/>
    <cellStyle name="Euro 7 33" xfId="1885"/>
    <cellStyle name="Euro 7 34" xfId="1934"/>
    <cellStyle name="Euro 7 35" xfId="1983"/>
    <cellStyle name="Euro 7 36" xfId="2032"/>
    <cellStyle name="Euro 7 37" xfId="2081"/>
    <cellStyle name="Euro 7 38" xfId="2129"/>
    <cellStyle name="Euro 7 39" xfId="2176"/>
    <cellStyle name="Euro 7 4" xfId="143"/>
    <cellStyle name="Euro 7 40" xfId="2222"/>
    <cellStyle name="Euro 7 41" xfId="2268"/>
    <cellStyle name="Euro 7 42" xfId="2314"/>
    <cellStyle name="Euro 7 43" xfId="2360"/>
    <cellStyle name="Euro 7 44" xfId="2406"/>
    <cellStyle name="Euro 7 45" xfId="2452"/>
    <cellStyle name="Euro 7 46" xfId="2498"/>
    <cellStyle name="Euro 7 47" xfId="2543"/>
    <cellStyle name="Euro 7 48" xfId="2587"/>
    <cellStyle name="Euro 7 49" xfId="2631"/>
    <cellStyle name="Euro 7 5" xfId="187"/>
    <cellStyle name="Euro 7 50" xfId="2674"/>
    <cellStyle name="Euro 7 51" xfId="2717"/>
    <cellStyle name="Euro 7 52" xfId="2760"/>
    <cellStyle name="Euro 7 53" xfId="2802"/>
    <cellStyle name="Euro 7 54" xfId="2843"/>
    <cellStyle name="Euro 7 55" xfId="2884"/>
    <cellStyle name="Euro 7 56" xfId="2924"/>
    <cellStyle name="Euro 7 57" xfId="2964"/>
    <cellStyle name="Euro 7 58" xfId="3004"/>
    <cellStyle name="Euro 7 59" xfId="3043"/>
    <cellStyle name="Euro 7 6" xfId="231"/>
    <cellStyle name="Euro 7 60" xfId="3081"/>
    <cellStyle name="Euro 7 61" xfId="3119"/>
    <cellStyle name="Euro 7 62" xfId="3156"/>
    <cellStyle name="Euro 7 63" xfId="3192"/>
    <cellStyle name="Euro 7 64" xfId="3228"/>
    <cellStyle name="Euro 7 65" xfId="3264"/>
    <cellStyle name="Euro 7 66" xfId="3299"/>
    <cellStyle name="Euro 7 67" xfId="3334"/>
    <cellStyle name="Euro 7 68" xfId="3366"/>
    <cellStyle name="Euro 7 69" xfId="3397"/>
    <cellStyle name="Euro 7 7" xfId="275"/>
    <cellStyle name="Euro 7 70" xfId="3425"/>
    <cellStyle name="Euro 7 71" xfId="3452"/>
    <cellStyle name="Euro 7 72" xfId="3478"/>
    <cellStyle name="Euro 7 73" xfId="3503"/>
    <cellStyle name="Euro 7 74" xfId="3526"/>
    <cellStyle name="Euro 7 75" xfId="3615"/>
    <cellStyle name="Euro 7 76" xfId="4149"/>
    <cellStyle name="Euro 7 77" xfId="4182"/>
    <cellStyle name="Euro 7 78" xfId="3965"/>
    <cellStyle name="Euro 7 79" xfId="3861"/>
    <cellStyle name="Euro 7 8" xfId="319"/>
    <cellStyle name="Euro 7 80" xfId="4224"/>
    <cellStyle name="Euro 7 81" xfId="3722"/>
    <cellStyle name="Euro 7 82" xfId="3945"/>
    <cellStyle name="Euro 7 83" xfId="4095"/>
    <cellStyle name="Euro 7 9" xfId="363"/>
    <cellStyle name="Euro 8" xfId="9"/>
    <cellStyle name="Euro 8 10" xfId="408"/>
    <cellStyle name="Euro 8 11" xfId="451"/>
    <cellStyle name="Euro 8 12" xfId="495"/>
    <cellStyle name="Euro 8 13" xfId="542"/>
    <cellStyle name="Euro 8 14" xfId="586"/>
    <cellStyle name="Euro 8 15" xfId="629"/>
    <cellStyle name="Euro 8 16" xfId="671"/>
    <cellStyle name="Euro 8 17" xfId="715"/>
    <cellStyle name="Euro 8 18" xfId="772"/>
    <cellStyle name="Euro 8 19" xfId="888"/>
    <cellStyle name="Euro 8 2" xfId="56"/>
    <cellStyle name="Euro 8 20" xfId="907"/>
    <cellStyle name="Euro 8 21" xfId="916"/>
    <cellStyle name="Euro 8 22" xfId="1627"/>
    <cellStyle name="Euro 8 23" xfId="1676"/>
    <cellStyle name="Euro 8 24" xfId="1725"/>
    <cellStyle name="Euro 8 25" xfId="1774"/>
    <cellStyle name="Euro 8 26" xfId="1823"/>
    <cellStyle name="Euro 8 27" xfId="1872"/>
    <cellStyle name="Euro 8 28" xfId="1921"/>
    <cellStyle name="Euro 8 29" xfId="1970"/>
    <cellStyle name="Euro 8 3" xfId="100"/>
    <cellStyle name="Euro 8 30" xfId="2019"/>
    <cellStyle name="Euro 8 31" xfId="2068"/>
    <cellStyle name="Euro 8 32" xfId="2117"/>
    <cellStyle name="Euro 8 33" xfId="2164"/>
    <cellStyle name="Euro 8 34" xfId="2210"/>
    <cellStyle name="Euro 8 35" xfId="2256"/>
    <cellStyle name="Euro 8 36" xfId="2302"/>
    <cellStyle name="Euro 8 37" xfId="2348"/>
    <cellStyle name="Euro 8 38" xfId="2394"/>
    <cellStyle name="Euro 8 39" xfId="2440"/>
    <cellStyle name="Euro 8 4" xfId="144"/>
    <cellStyle name="Euro 8 40" xfId="2486"/>
    <cellStyle name="Euro 8 41" xfId="2531"/>
    <cellStyle name="Euro 8 42" xfId="2575"/>
    <cellStyle name="Euro 8 43" xfId="2619"/>
    <cellStyle name="Euro 8 44" xfId="2662"/>
    <cellStyle name="Euro 8 45" xfId="2705"/>
    <cellStyle name="Euro 8 46" xfId="2748"/>
    <cellStyle name="Euro 8 47" xfId="2790"/>
    <cellStyle name="Euro 8 48" xfId="2831"/>
    <cellStyle name="Euro 8 49" xfId="2872"/>
    <cellStyle name="Euro 8 5" xfId="188"/>
    <cellStyle name="Euro 8 50" xfId="2913"/>
    <cellStyle name="Euro 8 51" xfId="2953"/>
    <cellStyle name="Euro 8 52" xfId="2993"/>
    <cellStyle name="Euro 8 53" xfId="3032"/>
    <cellStyle name="Euro 8 54" xfId="3070"/>
    <cellStyle name="Euro 8 55" xfId="3108"/>
    <cellStyle name="Euro 8 56" xfId="3145"/>
    <cellStyle name="Euro 8 57" xfId="3181"/>
    <cellStyle name="Euro 8 58" xfId="3217"/>
    <cellStyle name="Euro 8 59" xfId="3253"/>
    <cellStyle name="Euro 8 6" xfId="232"/>
    <cellStyle name="Euro 8 60" xfId="3288"/>
    <cellStyle name="Euro 8 61" xfId="3323"/>
    <cellStyle name="Euro 8 62" xfId="3355"/>
    <cellStyle name="Euro 8 63" xfId="3386"/>
    <cellStyle name="Euro 8 64" xfId="3415"/>
    <cellStyle name="Euro 8 65" xfId="3443"/>
    <cellStyle name="Euro 8 66" xfId="3469"/>
    <cellStyle name="Euro 8 67" xfId="3495"/>
    <cellStyle name="Euro 8 68" xfId="3518"/>
    <cellStyle name="Euro 8 69" xfId="3540"/>
    <cellStyle name="Euro 8 7" xfId="276"/>
    <cellStyle name="Euro 8 70" xfId="3556"/>
    <cellStyle name="Euro 8 71" xfId="3571"/>
    <cellStyle name="Euro 8 72" xfId="3582"/>
    <cellStyle name="Euro 8 73" xfId="3591"/>
    <cellStyle name="Euro 8 74" xfId="3599"/>
    <cellStyle name="Euro 8 75" xfId="3616"/>
    <cellStyle name="Euro 8 76" xfId="4244"/>
    <cellStyle name="Euro 8 77" xfId="4282"/>
    <cellStyle name="Euro 8 78" xfId="4318"/>
    <cellStyle name="Euro 8 79" xfId="4349"/>
    <cellStyle name="Euro 8 8" xfId="320"/>
    <cellStyle name="Euro 8 80" xfId="4376"/>
    <cellStyle name="Euro 8 81" xfId="4400"/>
    <cellStyle name="Euro 8 82" xfId="4418"/>
    <cellStyle name="Euro 8 83" xfId="4430"/>
    <cellStyle name="Euro 8 9" xfId="364"/>
    <cellStyle name="Euro 9" xfId="10"/>
    <cellStyle name="Euro 9 10" xfId="409"/>
    <cellStyle name="Euro 9 11" xfId="452"/>
    <cellStyle name="Euro 9 12" xfId="496"/>
    <cellStyle name="Euro 9 13" xfId="543"/>
    <cellStyle name="Euro 9 14" xfId="587"/>
    <cellStyle name="Euro 9 15" xfId="630"/>
    <cellStyle name="Euro 9 16" xfId="672"/>
    <cellStyle name="Euro 9 17" xfId="716"/>
    <cellStyle name="Euro 9 18" xfId="773"/>
    <cellStyle name="Euro 9 19" xfId="884"/>
    <cellStyle name="Euro 9 2" xfId="57"/>
    <cellStyle name="Euro 9 20" xfId="904"/>
    <cellStyle name="Euro 9 21" xfId="917"/>
    <cellStyle name="Euro 9 22" xfId="1584"/>
    <cellStyle name="Euro 9 23" xfId="1394"/>
    <cellStyle name="Euro 9 24" xfId="1248"/>
    <cellStyle name="Euro 9 25" xfId="979"/>
    <cellStyle name="Euro 9 26" xfId="1043"/>
    <cellStyle name="Euro 9 27" xfId="1540"/>
    <cellStyle name="Euro 9 28" xfId="1432"/>
    <cellStyle name="Euro 9 29" xfId="958"/>
    <cellStyle name="Euro 9 3" xfId="101"/>
    <cellStyle name="Euro 9 30" xfId="1315"/>
    <cellStyle name="Euro 9 31" xfId="1525"/>
    <cellStyle name="Euro 9 32" xfId="1433"/>
    <cellStyle name="Euro 9 33" xfId="1060"/>
    <cellStyle name="Euro 9 34" xfId="1460"/>
    <cellStyle name="Euro 9 35" xfId="1515"/>
    <cellStyle name="Euro 9 36" xfId="1164"/>
    <cellStyle name="Euro 9 37" xfId="1225"/>
    <cellStyle name="Euro 9 38" xfId="1491"/>
    <cellStyle name="Euro 9 39" xfId="1551"/>
    <cellStyle name="Euro 9 4" xfId="145"/>
    <cellStyle name="Euro 9 40" xfId="1587"/>
    <cellStyle name="Euro 9 41" xfId="1278"/>
    <cellStyle name="Euro 9 42" xfId="1099"/>
    <cellStyle name="Euro 9 43" xfId="1037"/>
    <cellStyle name="Euro 9 44" xfId="1194"/>
    <cellStyle name="Euro 9 45" xfId="1342"/>
    <cellStyle name="Euro 9 46" xfId="974"/>
    <cellStyle name="Euro 9 47" xfId="1314"/>
    <cellStyle name="Euro 9 48" xfId="1560"/>
    <cellStyle name="Euro 9 49" xfId="1083"/>
    <cellStyle name="Euro 9 5" xfId="189"/>
    <cellStyle name="Euro 9 50" xfId="1150"/>
    <cellStyle name="Euro 9 51" xfId="1226"/>
    <cellStyle name="Euro 9 52" xfId="1451"/>
    <cellStyle name="Euro 9 53" xfId="1244"/>
    <cellStyle name="Euro 9 54" xfId="1181"/>
    <cellStyle name="Euro 9 55" xfId="1185"/>
    <cellStyle name="Euro 9 56" xfId="987"/>
    <cellStyle name="Euro 9 57" xfId="1354"/>
    <cellStyle name="Euro 9 58" xfId="1174"/>
    <cellStyle name="Euro 9 59" xfId="1454"/>
    <cellStyle name="Euro 9 6" xfId="233"/>
    <cellStyle name="Euro 9 60" xfId="1128"/>
    <cellStyle name="Euro 9 61" xfId="1494"/>
    <cellStyle name="Euro 9 62" xfId="1399"/>
    <cellStyle name="Euro 9 63" xfId="970"/>
    <cellStyle name="Euro 9 64" xfId="1466"/>
    <cellStyle name="Euro 9 65" xfId="1638"/>
    <cellStyle name="Euro 9 66" xfId="1687"/>
    <cellStyle name="Euro 9 67" xfId="1736"/>
    <cellStyle name="Euro 9 68" xfId="1785"/>
    <cellStyle name="Euro 9 69" xfId="1834"/>
    <cellStyle name="Euro 9 7" xfId="277"/>
    <cellStyle name="Euro 9 70" xfId="1883"/>
    <cellStyle name="Euro 9 71" xfId="1932"/>
    <cellStyle name="Euro 9 72" xfId="1981"/>
    <cellStyle name="Euro 9 73" xfId="2030"/>
    <cellStyle name="Euro 9 74" xfId="2079"/>
    <cellStyle name="Euro 9 75" xfId="3617"/>
    <cellStyle name="Euro 9 76" xfId="4225"/>
    <cellStyle name="Euro 9 77" xfId="4266"/>
    <cellStyle name="Euro 9 78" xfId="3700"/>
    <cellStyle name="Euro 9 79" xfId="3909"/>
    <cellStyle name="Euro 9 8" xfId="321"/>
    <cellStyle name="Euro 9 80" xfId="4125"/>
    <cellStyle name="Euro 9 81" xfId="3750"/>
    <cellStyle name="Euro 9 82" xfId="4232"/>
    <cellStyle name="Euro 9 83" xfId="3947"/>
    <cellStyle name="Euro 9 9" xfId="365"/>
    <cellStyle name="Milliers 10" xfId="11"/>
    <cellStyle name="Milliers 10 10" xfId="410"/>
    <cellStyle name="Milliers 10 11" xfId="453"/>
    <cellStyle name="Milliers 10 12" xfId="497"/>
    <cellStyle name="Milliers 10 13" xfId="544"/>
    <cellStyle name="Milliers 10 14" xfId="588"/>
    <cellStyle name="Milliers 10 15" xfId="631"/>
    <cellStyle name="Milliers 10 16" xfId="673"/>
    <cellStyle name="Milliers 10 17" xfId="717"/>
    <cellStyle name="Milliers 10 18" xfId="774"/>
    <cellStyle name="Milliers 10 19" xfId="878"/>
    <cellStyle name="Milliers 10 2" xfId="58"/>
    <cellStyle name="Milliers 10 20" xfId="823"/>
    <cellStyle name="Milliers 10 21" xfId="918"/>
    <cellStyle name="Milliers 10 22" xfId="1547"/>
    <cellStyle name="Milliers 10 23" xfId="1122"/>
    <cellStyle name="Milliers 10 24" xfId="1382"/>
    <cellStyle name="Milliers 10 25" xfId="1133"/>
    <cellStyle name="Milliers 10 26" xfId="1227"/>
    <cellStyle name="Milliers 10 27" xfId="1413"/>
    <cellStyle name="Milliers 10 28" xfId="1077"/>
    <cellStyle name="Milliers 10 29" xfId="1420"/>
    <cellStyle name="Milliers 10 3" xfId="102"/>
    <cellStyle name="Milliers 10 30" xfId="1078"/>
    <cellStyle name="Milliers 10 31" xfId="1384"/>
    <cellStyle name="Milliers 10 32" xfId="971"/>
    <cellStyle name="Milliers 10 33" xfId="1426"/>
    <cellStyle name="Milliers 10 34" xfId="1287"/>
    <cellStyle name="Milliers 10 35" xfId="1373"/>
    <cellStyle name="Milliers 10 36" xfId="1521"/>
    <cellStyle name="Milliers 10 37" xfId="1589"/>
    <cellStyle name="Milliers 10 38" xfId="909"/>
    <cellStyle name="Milliers 10 39" xfId="1277"/>
    <cellStyle name="Milliers 10 4" xfId="146"/>
    <cellStyle name="Milliers 10 40" xfId="1140"/>
    <cellStyle name="Milliers 10 41" xfId="1614"/>
    <cellStyle name="Milliers 10 42" xfId="1663"/>
    <cellStyle name="Milliers 10 43" xfId="1712"/>
    <cellStyle name="Milliers 10 44" xfId="1761"/>
    <cellStyle name="Milliers 10 45" xfId="1810"/>
    <cellStyle name="Milliers 10 46" xfId="1859"/>
    <cellStyle name="Milliers 10 47" xfId="1908"/>
    <cellStyle name="Milliers 10 48" xfId="1957"/>
    <cellStyle name="Milliers 10 49" xfId="2006"/>
    <cellStyle name="Milliers 10 5" xfId="190"/>
    <cellStyle name="Milliers 10 50" xfId="2055"/>
    <cellStyle name="Milliers 10 51" xfId="2104"/>
    <cellStyle name="Milliers 10 52" xfId="2152"/>
    <cellStyle name="Milliers 10 53" xfId="2198"/>
    <cellStyle name="Milliers 10 54" xfId="2244"/>
    <cellStyle name="Milliers 10 55" xfId="2290"/>
    <cellStyle name="Milliers 10 56" xfId="2336"/>
    <cellStyle name="Milliers 10 57" xfId="2382"/>
    <cellStyle name="Milliers 10 58" xfId="2428"/>
    <cellStyle name="Milliers 10 59" xfId="2474"/>
    <cellStyle name="Milliers 10 6" xfId="234"/>
    <cellStyle name="Milliers 10 60" xfId="2520"/>
    <cellStyle name="Milliers 10 61" xfId="2564"/>
    <cellStyle name="Milliers 10 62" xfId="2608"/>
    <cellStyle name="Milliers 10 63" xfId="2651"/>
    <cellStyle name="Milliers 10 64" xfId="2694"/>
    <cellStyle name="Milliers 10 65" xfId="2737"/>
    <cellStyle name="Milliers 10 66" xfId="2779"/>
    <cellStyle name="Milliers 10 67" xfId="2821"/>
    <cellStyle name="Milliers 10 68" xfId="2862"/>
    <cellStyle name="Milliers 10 69" xfId="2903"/>
    <cellStyle name="Milliers 10 7" xfId="278"/>
    <cellStyle name="Milliers 10 70" xfId="2943"/>
    <cellStyle name="Milliers 10 71" xfId="2983"/>
    <cellStyle name="Milliers 10 72" xfId="3023"/>
    <cellStyle name="Milliers 10 73" xfId="3061"/>
    <cellStyle name="Milliers 10 74" xfId="3099"/>
    <cellStyle name="Milliers 10 75" xfId="3618"/>
    <cellStyle name="Milliers 10 76" xfId="4202"/>
    <cellStyle name="Milliers 10 77" xfId="4058"/>
    <cellStyle name="Milliers 10 78" xfId="4298"/>
    <cellStyle name="Milliers 10 79" xfId="4332"/>
    <cellStyle name="Milliers 10 8" xfId="322"/>
    <cellStyle name="Milliers 10 80" xfId="4360"/>
    <cellStyle name="Milliers 10 81" xfId="4387"/>
    <cellStyle name="Milliers 10 82" xfId="4408"/>
    <cellStyle name="Milliers 10 83" xfId="4424"/>
    <cellStyle name="Milliers 10 9" xfId="366"/>
    <cellStyle name="Milliers 11" xfId="812"/>
    <cellStyle name="Milliers 2" xfId="12"/>
    <cellStyle name="Milliers 2 10" xfId="59"/>
    <cellStyle name="Milliers 2 11" xfId="103"/>
    <cellStyle name="Milliers 2 12" xfId="147"/>
    <cellStyle name="Milliers 2 13" xfId="191"/>
    <cellStyle name="Milliers 2 14" xfId="235"/>
    <cellStyle name="Milliers 2 15" xfId="279"/>
    <cellStyle name="Milliers 2 16" xfId="323"/>
    <cellStyle name="Milliers 2 17" xfId="367"/>
    <cellStyle name="Milliers 2 18" xfId="411"/>
    <cellStyle name="Milliers 2 19" xfId="454"/>
    <cellStyle name="Milliers 2 2" xfId="13"/>
    <cellStyle name="Milliers 2 2 10" xfId="412"/>
    <cellStyle name="Milliers 2 2 11" xfId="455"/>
    <cellStyle name="Milliers 2 2 12" xfId="499"/>
    <cellStyle name="Milliers 2 2 13" xfId="546"/>
    <cellStyle name="Milliers 2 2 14" xfId="590"/>
    <cellStyle name="Milliers 2 2 15" xfId="633"/>
    <cellStyle name="Milliers 2 2 16" xfId="675"/>
    <cellStyle name="Milliers 2 2 17" xfId="719"/>
    <cellStyle name="Milliers 2 2 18" xfId="776"/>
    <cellStyle name="Milliers 2 2 19" xfId="866"/>
    <cellStyle name="Milliers 2 2 2" xfId="60"/>
    <cellStyle name="Milliers 2 2 20" xfId="839"/>
    <cellStyle name="Milliers 2 2 21" xfId="920"/>
    <cellStyle name="Milliers 2 2 22" xfId="1469"/>
    <cellStyle name="Milliers 2 2 23" xfId="1209"/>
    <cellStyle name="Milliers 2 2 24" xfId="1414"/>
    <cellStyle name="Milliers 2 2 25" xfId="1596"/>
    <cellStyle name="Milliers 2 2 26" xfId="1645"/>
    <cellStyle name="Milliers 2 2 27" xfId="1694"/>
    <cellStyle name="Milliers 2 2 28" xfId="1743"/>
    <cellStyle name="Milliers 2 2 29" xfId="1792"/>
    <cellStyle name="Milliers 2 2 3" xfId="104"/>
    <cellStyle name="Milliers 2 2 30" xfId="1841"/>
    <cellStyle name="Milliers 2 2 31" xfId="1890"/>
    <cellStyle name="Milliers 2 2 32" xfId="1939"/>
    <cellStyle name="Milliers 2 2 33" xfId="1988"/>
    <cellStyle name="Milliers 2 2 34" xfId="2037"/>
    <cellStyle name="Milliers 2 2 35" xfId="2086"/>
    <cellStyle name="Milliers 2 2 36" xfId="2134"/>
    <cellStyle name="Milliers 2 2 37" xfId="2181"/>
    <cellStyle name="Milliers 2 2 38" xfId="2227"/>
    <cellStyle name="Milliers 2 2 39" xfId="2273"/>
    <cellStyle name="Milliers 2 2 4" xfId="148"/>
    <cellStyle name="Milliers 2 2 40" xfId="2319"/>
    <cellStyle name="Milliers 2 2 41" xfId="2365"/>
    <cellStyle name="Milliers 2 2 42" xfId="2411"/>
    <cellStyle name="Milliers 2 2 43" xfId="2457"/>
    <cellStyle name="Milliers 2 2 44" xfId="2503"/>
    <cellStyle name="Milliers 2 2 45" xfId="2547"/>
    <cellStyle name="Milliers 2 2 46" xfId="2591"/>
    <cellStyle name="Milliers 2 2 47" xfId="2635"/>
    <cellStyle name="Milliers 2 2 48" xfId="2678"/>
    <cellStyle name="Milliers 2 2 49" xfId="2721"/>
    <cellStyle name="Milliers 2 2 5" xfId="192"/>
    <cellStyle name="Milliers 2 2 50" xfId="2764"/>
    <cellStyle name="Milliers 2 2 51" xfId="2806"/>
    <cellStyle name="Milliers 2 2 52" xfId="2847"/>
    <cellStyle name="Milliers 2 2 53" xfId="2888"/>
    <cellStyle name="Milliers 2 2 54" xfId="2928"/>
    <cellStyle name="Milliers 2 2 55" xfId="2968"/>
    <cellStyle name="Milliers 2 2 56" xfId="3008"/>
    <cellStyle name="Milliers 2 2 57" xfId="3047"/>
    <cellStyle name="Milliers 2 2 58" xfId="3085"/>
    <cellStyle name="Milliers 2 2 59" xfId="3123"/>
    <cellStyle name="Milliers 2 2 6" xfId="236"/>
    <cellStyle name="Milliers 2 2 60" xfId="3160"/>
    <cellStyle name="Milliers 2 2 61" xfId="3196"/>
    <cellStyle name="Milliers 2 2 62" xfId="3232"/>
    <cellStyle name="Milliers 2 2 63" xfId="3268"/>
    <cellStyle name="Milliers 2 2 64" xfId="3303"/>
    <cellStyle name="Milliers 2 2 65" xfId="3338"/>
    <cellStyle name="Milliers 2 2 66" xfId="3369"/>
    <cellStyle name="Milliers 2 2 67" xfId="3400"/>
    <cellStyle name="Milliers 2 2 68" xfId="3428"/>
    <cellStyle name="Milliers 2 2 69" xfId="3454"/>
    <cellStyle name="Milliers 2 2 7" xfId="280"/>
    <cellStyle name="Milliers 2 2 70" xfId="3480"/>
    <cellStyle name="Milliers 2 2 71" xfId="3504"/>
    <cellStyle name="Milliers 2 2 72" xfId="3527"/>
    <cellStyle name="Milliers 2 2 73" xfId="3547"/>
    <cellStyle name="Milliers 2 2 74" xfId="3563"/>
    <cellStyle name="Milliers 2 2 75" xfId="3620"/>
    <cellStyle name="Milliers 2 2 76" xfId="4134"/>
    <cellStyle name="Milliers 2 2 77" xfId="4217"/>
    <cellStyle name="Milliers 2 2 78" xfId="3803"/>
    <cellStyle name="Milliers 2 2 79" xfId="4231"/>
    <cellStyle name="Milliers 2 2 8" xfId="324"/>
    <cellStyle name="Milliers 2 2 80" xfId="4272"/>
    <cellStyle name="Milliers 2 2 81" xfId="4310"/>
    <cellStyle name="Milliers 2 2 82" xfId="4343"/>
    <cellStyle name="Milliers 2 2 83" xfId="4371"/>
    <cellStyle name="Milliers 2 2 9" xfId="368"/>
    <cellStyle name="Milliers 2 20" xfId="498"/>
    <cellStyle name="Milliers 2 21" xfId="545"/>
    <cellStyle name="Milliers 2 22" xfId="589"/>
    <cellStyle name="Milliers 2 23" xfId="632"/>
    <cellStyle name="Milliers 2 24" xfId="674"/>
    <cellStyle name="Milliers 2 25" xfId="718"/>
    <cellStyle name="Milliers 2 26" xfId="775"/>
    <cellStyle name="Milliers 2 27" xfId="871"/>
    <cellStyle name="Milliers 2 28" xfId="872"/>
    <cellStyle name="Milliers 2 29" xfId="919"/>
    <cellStyle name="Milliers 2 3" xfId="14"/>
    <cellStyle name="Milliers 2 3 10" xfId="413"/>
    <cellStyle name="Milliers 2 3 11" xfId="456"/>
    <cellStyle name="Milliers 2 3 12" xfId="500"/>
    <cellStyle name="Milliers 2 3 13" xfId="547"/>
    <cellStyle name="Milliers 2 3 14" xfId="591"/>
    <cellStyle name="Milliers 2 3 15" xfId="634"/>
    <cellStyle name="Milliers 2 3 16" xfId="676"/>
    <cellStyle name="Milliers 2 3 17" xfId="720"/>
    <cellStyle name="Milliers 2 3 18" xfId="777"/>
    <cellStyle name="Milliers 2 3 19" xfId="863"/>
    <cellStyle name="Milliers 2 3 2" xfId="61"/>
    <cellStyle name="Milliers 2 3 20" xfId="889"/>
    <cellStyle name="Milliers 2 3 21" xfId="921"/>
    <cellStyle name="Milliers 2 3 22" xfId="1429"/>
    <cellStyle name="Milliers 2 3 23" xfId="1170"/>
    <cellStyle name="Milliers 2 3 24" xfId="1070"/>
    <cellStyle name="Milliers 2 3 25" xfId="1039"/>
    <cellStyle name="Milliers 2 3 26" xfId="1112"/>
    <cellStyle name="Milliers 2 3 27" xfId="1148"/>
    <cellStyle name="Milliers 2 3 28" xfId="1303"/>
    <cellStyle name="Milliers 2 3 29" xfId="1336"/>
    <cellStyle name="Milliers 2 3 3" xfId="105"/>
    <cellStyle name="Milliers 2 3 30" xfId="1292"/>
    <cellStyle name="Milliers 2 3 31" xfId="1139"/>
    <cellStyle name="Milliers 2 3 32" xfId="1634"/>
    <cellStyle name="Milliers 2 3 33" xfId="1683"/>
    <cellStyle name="Milliers 2 3 34" xfId="1732"/>
    <cellStyle name="Milliers 2 3 35" xfId="1781"/>
    <cellStyle name="Milliers 2 3 36" xfId="1830"/>
    <cellStyle name="Milliers 2 3 37" xfId="1879"/>
    <cellStyle name="Milliers 2 3 38" xfId="1928"/>
    <cellStyle name="Milliers 2 3 39" xfId="1977"/>
    <cellStyle name="Milliers 2 3 4" xfId="149"/>
    <cellStyle name="Milliers 2 3 40" xfId="2026"/>
    <cellStyle name="Milliers 2 3 41" xfId="2075"/>
    <cellStyle name="Milliers 2 3 42" xfId="2124"/>
    <cellStyle name="Milliers 2 3 43" xfId="2171"/>
    <cellStyle name="Milliers 2 3 44" xfId="2217"/>
    <cellStyle name="Milliers 2 3 45" xfId="2263"/>
    <cellStyle name="Milliers 2 3 46" xfId="2309"/>
    <cellStyle name="Milliers 2 3 47" xfId="2355"/>
    <cellStyle name="Milliers 2 3 48" xfId="2401"/>
    <cellStyle name="Milliers 2 3 49" xfId="2447"/>
    <cellStyle name="Milliers 2 3 5" xfId="193"/>
    <cellStyle name="Milliers 2 3 50" xfId="2493"/>
    <cellStyle name="Milliers 2 3 51" xfId="2538"/>
    <cellStyle name="Milliers 2 3 52" xfId="2582"/>
    <cellStyle name="Milliers 2 3 53" xfId="2626"/>
    <cellStyle name="Milliers 2 3 54" xfId="2669"/>
    <cellStyle name="Milliers 2 3 55" xfId="2712"/>
    <cellStyle name="Milliers 2 3 56" xfId="2755"/>
    <cellStyle name="Milliers 2 3 57" xfId="2797"/>
    <cellStyle name="Milliers 2 3 58" xfId="2838"/>
    <cellStyle name="Milliers 2 3 59" xfId="2879"/>
    <cellStyle name="Milliers 2 3 6" xfId="237"/>
    <cellStyle name="Milliers 2 3 60" xfId="2920"/>
    <cellStyle name="Milliers 2 3 61" xfId="2960"/>
    <cellStyle name="Milliers 2 3 62" xfId="3000"/>
    <cellStyle name="Milliers 2 3 63" xfId="3039"/>
    <cellStyle name="Milliers 2 3 64" xfId="3077"/>
    <cellStyle name="Milliers 2 3 65" xfId="3115"/>
    <cellStyle name="Milliers 2 3 66" xfId="3152"/>
    <cellStyle name="Milliers 2 3 67" xfId="3188"/>
    <cellStyle name="Milliers 2 3 68" xfId="3224"/>
    <cellStyle name="Milliers 2 3 69" xfId="3260"/>
    <cellStyle name="Milliers 2 3 7" xfId="281"/>
    <cellStyle name="Milliers 2 3 70" xfId="3295"/>
    <cellStyle name="Milliers 2 3 71" xfId="3330"/>
    <cellStyle name="Milliers 2 3 72" xfId="3362"/>
    <cellStyle name="Milliers 2 3 73" xfId="3393"/>
    <cellStyle name="Milliers 2 3 74" xfId="3421"/>
    <cellStyle name="Milliers 2 3 75" xfId="3621"/>
    <cellStyle name="Milliers 2 3 76" xfId="4043"/>
    <cellStyle name="Milliers 2 3 77" xfId="3857"/>
    <cellStyle name="Milliers 2 3 78" xfId="3739"/>
    <cellStyle name="Milliers 2 3 79" xfId="3864"/>
    <cellStyle name="Milliers 2 3 8" xfId="325"/>
    <cellStyle name="Milliers 2 3 80" xfId="3716"/>
    <cellStyle name="Milliers 2 3 81" xfId="3865"/>
    <cellStyle name="Milliers 2 3 82" xfId="3699"/>
    <cellStyle name="Milliers 2 3 83" xfId="4028"/>
    <cellStyle name="Milliers 2 3 9" xfId="369"/>
    <cellStyle name="Milliers 2 30" xfId="1507"/>
    <cellStyle name="Milliers 2 31" xfId="1475"/>
    <cellStyle name="Milliers 2 32" xfId="1079"/>
    <cellStyle name="Milliers 2 33" xfId="1349"/>
    <cellStyle name="Milliers 2 34" xfId="1406"/>
    <cellStyle name="Milliers 2 35" xfId="1288"/>
    <cellStyle name="Milliers 2 36" xfId="1337"/>
    <cellStyle name="Milliers 2 37" xfId="1251"/>
    <cellStyle name="Milliers 2 38" xfId="1528"/>
    <cellStyle name="Milliers 2 39" xfId="1280"/>
    <cellStyle name="Milliers 2 4" xfId="15"/>
    <cellStyle name="Milliers 2 4 10" xfId="414"/>
    <cellStyle name="Milliers 2 4 11" xfId="457"/>
    <cellStyle name="Milliers 2 4 12" xfId="501"/>
    <cellStyle name="Milliers 2 4 13" xfId="548"/>
    <cellStyle name="Milliers 2 4 14" xfId="592"/>
    <cellStyle name="Milliers 2 4 15" xfId="635"/>
    <cellStyle name="Milliers 2 4 16" xfId="677"/>
    <cellStyle name="Milliers 2 4 17" xfId="721"/>
    <cellStyle name="Milliers 2 4 18" xfId="778"/>
    <cellStyle name="Milliers 2 4 19" xfId="857"/>
    <cellStyle name="Milliers 2 4 2" xfId="62"/>
    <cellStyle name="Milliers 2 4 20" xfId="827"/>
    <cellStyle name="Milliers 2 4 21" xfId="922"/>
    <cellStyle name="Milliers 2 4 22" xfId="1393"/>
    <cellStyle name="Milliers 2 4 23" xfId="1289"/>
    <cellStyle name="Milliers 2 4 24" xfId="1295"/>
    <cellStyle name="Milliers 2 4 25" xfId="977"/>
    <cellStyle name="Milliers 2 4 26" xfId="1197"/>
    <cellStyle name="Milliers 2 4 27" xfId="1223"/>
    <cellStyle name="Milliers 2 4 28" xfId="1565"/>
    <cellStyle name="Milliers 2 4 29" xfId="1508"/>
    <cellStyle name="Milliers 2 4 3" xfId="106"/>
    <cellStyle name="Milliers 2 4 30" xfId="1434"/>
    <cellStyle name="Milliers 2 4 31" xfId="1595"/>
    <cellStyle name="Milliers 2 4 32" xfId="1644"/>
    <cellStyle name="Milliers 2 4 33" xfId="1693"/>
    <cellStyle name="Milliers 2 4 34" xfId="1742"/>
    <cellStyle name="Milliers 2 4 35" xfId="1791"/>
    <cellStyle name="Milliers 2 4 36" xfId="1840"/>
    <cellStyle name="Milliers 2 4 37" xfId="1889"/>
    <cellStyle name="Milliers 2 4 38" xfId="1938"/>
    <cellStyle name="Milliers 2 4 39" xfId="1987"/>
    <cellStyle name="Milliers 2 4 4" xfId="150"/>
    <cellStyle name="Milliers 2 4 40" xfId="2036"/>
    <cellStyle name="Milliers 2 4 41" xfId="2085"/>
    <cellStyle name="Milliers 2 4 42" xfId="2133"/>
    <cellStyle name="Milliers 2 4 43" xfId="2180"/>
    <cellStyle name="Milliers 2 4 44" xfId="2226"/>
    <cellStyle name="Milliers 2 4 45" xfId="2272"/>
    <cellStyle name="Milliers 2 4 46" xfId="2318"/>
    <cellStyle name="Milliers 2 4 47" xfId="2364"/>
    <cellStyle name="Milliers 2 4 48" xfId="2410"/>
    <cellStyle name="Milliers 2 4 49" xfId="2456"/>
    <cellStyle name="Milliers 2 4 5" xfId="194"/>
    <cellStyle name="Milliers 2 4 50" xfId="2502"/>
    <cellStyle name="Milliers 2 4 51" xfId="2546"/>
    <cellStyle name="Milliers 2 4 52" xfId="2590"/>
    <cellStyle name="Milliers 2 4 53" xfId="2634"/>
    <cellStyle name="Milliers 2 4 54" xfId="2677"/>
    <cellStyle name="Milliers 2 4 55" xfId="2720"/>
    <cellStyle name="Milliers 2 4 56" xfId="2763"/>
    <cellStyle name="Milliers 2 4 57" xfId="2805"/>
    <cellStyle name="Milliers 2 4 58" xfId="2846"/>
    <cellStyle name="Milliers 2 4 59" xfId="2887"/>
    <cellStyle name="Milliers 2 4 6" xfId="238"/>
    <cellStyle name="Milliers 2 4 60" xfId="2927"/>
    <cellStyle name="Milliers 2 4 61" xfId="2967"/>
    <cellStyle name="Milliers 2 4 62" xfId="3007"/>
    <cellStyle name="Milliers 2 4 63" xfId="3046"/>
    <cellStyle name="Milliers 2 4 64" xfId="3084"/>
    <cellStyle name="Milliers 2 4 65" xfId="3122"/>
    <cellStyle name="Milliers 2 4 66" xfId="3159"/>
    <cellStyle name="Milliers 2 4 67" xfId="3195"/>
    <cellStyle name="Milliers 2 4 68" xfId="3231"/>
    <cellStyle name="Milliers 2 4 69" xfId="3267"/>
    <cellStyle name="Milliers 2 4 7" xfId="282"/>
    <cellStyle name="Milliers 2 4 70" xfId="3302"/>
    <cellStyle name="Milliers 2 4 71" xfId="3337"/>
    <cellStyle name="Milliers 2 4 72" xfId="3368"/>
    <cellStyle name="Milliers 2 4 73" xfId="3399"/>
    <cellStyle name="Milliers 2 4 74" xfId="3427"/>
    <cellStyle name="Milliers 2 4 75" xfId="3622"/>
    <cellStyle name="Milliers 2 4 76" xfId="4094"/>
    <cellStyle name="Milliers 2 4 77" xfId="3954"/>
    <cellStyle name="Milliers 2 4 78" xfId="3732"/>
    <cellStyle name="Milliers 2 4 79" xfId="3823"/>
    <cellStyle name="Milliers 2 4 8" xfId="326"/>
    <cellStyle name="Milliers 2 4 80" xfId="3821"/>
    <cellStyle name="Milliers 2 4 81" xfId="4081"/>
    <cellStyle name="Milliers 2 4 82" xfId="4292"/>
    <cellStyle name="Milliers 2 4 83" xfId="4328"/>
    <cellStyle name="Milliers 2 4 9" xfId="370"/>
    <cellStyle name="Milliers 2 40" xfId="1055"/>
    <cellStyle name="Milliers 2 41" xfId="1631"/>
    <cellStyle name="Milliers 2 42" xfId="1680"/>
    <cellStyle name="Milliers 2 43" xfId="1729"/>
    <cellStyle name="Milliers 2 44" xfId="1778"/>
    <cellStyle name="Milliers 2 45" xfId="1827"/>
    <cellStyle name="Milliers 2 46" xfId="1876"/>
    <cellStyle name="Milliers 2 47" xfId="1925"/>
    <cellStyle name="Milliers 2 48" xfId="1974"/>
    <cellStyle name="Milliers 2 49" xfId="2023"/>
    <cellStyle name="Milliers 2 5" xfId="16"/>
    <cellStyle name="Milliers 2 5 10" xfId="415"/>
    <cellStyle name="Milliers 2 5 11" xfId="458"/>
    <cellStyle name="Milliers 2 5 12" xfId="502"/>
    <cellStyle name="Milliers 2 5 13" xfId="549"/>
    <cellStyle name="Milliers 2 5 14" xfId="593"/>
    <cellStyle name="Milliers 2 5 15" xfId="636"/>
    <cellStyle name="Milliers 2 5 16" xfId="678"/>
    <cellStyle name="Milliers 2 5 17" xfId="722"/>
    <cellStyle name="Milliers 2 5 18" xfId="779"/>
    <cellStyle name="Milliers 2 5 19" xfId="853"/>
    <cellStyle name="Milliers 2 5 2" xfId="63"/>
    <cellStyle name="Milliers 2 5 20" xfId="813"/>
    <cellStyle name="Milliers 2 5 21" xfId="923"/>
    <cellStyle name="Milliers 2 5 22" xfId="1358"/>
    <cellStyle name="Milliers 2 5 23" xfId="973"/>
    <cellStyle name="Milliers 2 5 24" xfId="1355"/>
    <cellStyle name="Milliers 2 5 25" xfId="1135"/>
    <cellStyle name="Milliers 2 5 26" xfId="1147"/>
    <cellStyle name="Milliers 2 5 27" xfId="1344"/>
    <cellStyle name="Milliers 2 5 28" xfId="1601"/>
    <cellStyle name="Milliers 2 5 29" xfId="1650"/>
    <cellStyle name="Milliers 2 5 3" xfId="107"/>
    <cellStyle name="Milliers 2 5 30" xfId="1699"/>
    <cellStyle name="Milliers 2 5 31" xfId="1748"/>
    <cellStyle name="Milliers 2 5 32" xfId="1797"/>
    <cellStyle name="Milliers 2 5 33" xfId="1846"/>
    <cellStyle name="Milliers 2 5 34" xfId="1895"/>
    <cellStyle name="Milliers 2 5 35" xfId="1944"/>
    <cellStyle name="Milliers 2 5 36" xfId="1993"/>
    <cellStyle name="Milliers 2 5 37" xfId="2042"/>
    <cellStyle name="Milliers 2 5 38" xfId="2091"/>
    <cellStyle name="Milliers 2 5 39" xfId="2139"/>
    <cellStyle name="Milliers 2 5 4" xfId="151"/>
    <cellStyle name="Milliers 2 5 40" xfId="2186"/>
    <cellStyle name="Milliers 2 5 41" xfId="2232"/>
    <cellStyle name="Milliers 2 5 42" xfId="2278"/>
    <cellStyle name="Milliers 2 5 43" xfId="2324"/>
    <cellStyle name="Milliers 2 5 44" xfId="2370"/>
    <cellStyle name="Milliers 2 5 45" xfId="2416"/>
    <cellStyle name="Milliers 2 5 46" xfId="2462"/>
    <cellStyle name="Milliers 2 5 47" xfId="2508"/>
    <cellStyle name="Milliers 2 5 48" xfId="2552"/>
    <cellStyle name="Milliers 2 5 49" xfId="2596"/>
    <cellStyle name="Milliers 2 5 5" xfId="195"/>
    <cellStyle name="Milliers 2 5 50" xfId="2640"/>
    <cellStyle name="Milliers 2 5 51" xfId="2683"/>
    <cellStyle name="Milliers 2 5 52" xfId="2726"/>
    <cellStyle name="Milliers 2 5 53" xfId="2769"/>
    <cellStyle name="Milliers 2 5 54" xfId="2811"/>
    <cellStyle name="Milliers 2 5 55" xfId="2852"/>
    <cellStyle name="Milliers 2 5 56" xfId="2893"/>
    <cellStyle name="Milliers 2 5 57" xfId="2933"/>
    <cellStyle name="Milliers 2 5 58" xfId="2973"/>
    <cellStyle name="Milliers 2 5 59" xfId="3013"/>
    <cellStyle name="Milliers 2 5 6" xfId="239"/>
    <cellStyle name="Milliers 2 5 60" xfId="3052"/>
    <cellStyle name="Milliers 2 5 61" xfId="3090"/>
    <cellStyle name="Milliers 2 5 62" xfId="3128"/>
    <cellStyle name="Milliers 2 5 63" xfId="3165"/>
    <cellStyle name="Milliers 2 5 64" xfId="3201"/>
    <cellStyle name="Milliers 2 5 65" xfId="3237"/>
    <cellStyle name="Milliers 2 5 66" xfId="3272"/>
    <cellStyle name="Milliers 2 5 67" xfId="3307"/>
    <cellStyle name="Milliers 2 5 68" xfId="3342"/>
    <cellStyle name="Milliers 2 5 69" xfId="3373"/>
    <cellStyle name="Milliers 2 5 7" xfId="283"/>
    <cellStyle name="Milliers 2 5 70" xfId="3404"/>
    <cellStyle name="Milliers 2 5 71" xfId="3432"/>
    <cellStyle name="Milliers 2 5 72" xfId="3458"/>
    <cellStyle name="Milliers 2 5 73" xfId="3484"/>
    <cellStyle name="Milliers 2 5 74" xfId="3508"/>
    <cellStyle name="Milliers 2 5 75" xfId="3623"/>
    <cellStyle name="Milliers 2 5 76" xfId="4089"/>
    <cellStyle name="Milliers 2 5 77" xfId="4215"/>
    <cellStyle name="Milliers 2 5 78" xfId="3723"/>
    <cellStyle name="Milliers 2 5 79" xfId="3907"/>
    <cellStyle name="Milliers 2 5 8" xfId="327"/>
    <cellStyle name="Milliers 2 5 80" xfId="4213"/>
    <cellStyle name="Milliers 2 5 81" xfId="4030"/>
    <cellStyle name="Milliers 2 5 82" xfId="3754"/>
    <cellStyle name="Milliers 2 5 83" xfId="4026"/>
    <cellStyle name="Milliers 2 5 9" xfId="371"/>
    <cellStyle name="Milliers 2 50" xfId="2072"/>
    <cellStyle name="Milliers 2 51" xfId="2121"/>
    <cellStyle name="Milliers 2 52" xfId="2168"/>
    <cellStyle name="Milliers 2 53" xfId="2214"/>
    <cellStyle name="Milliers 2 54" xfId="2260"/>
    <cellStyle name="Milliers 2 55" xfId="2306"/>
    <cellStyle name="Milliers 2 56" xfId="2352"/>
    <cellStyle name="Milliers 2 57" xfId="2398"/>
    <cellStyle name="Milliers 2 58" xfId="2444"/>
    <cellStyle name="Milliers 2 59" xfId="2490"/>
    <cellStyle name="Milliers 2 6" xfId="17"/>
    <cellStyle name="Milliers 2 6 10" xfId="416"/>
    <cellStyle name="Milliers 2 6 11" xfId="459"/>
    <cellStyle name="Milliers 2 6 12" xfId="503"/>
    <cellStyle name="Milliers 2 6 13" xfId="550"/>
    <cellStyle name="Milliers 2 6 14" xfId="594"/>
    <cellStyle name="Milliers 2 6 15" xfId="637"/>
    <cellStyle name="Milliers 2 6 16" xfId="679"/>
    <cellStyle name="Milliers 2 6 17" xfId="723"/>
    <cellStyle name="Milliers 2 6 18" xfId="780"/>
    <cellStyle name="Milliers 2 6 19" xfId="849"/>
    <cellStyle name="Milliers 2 6 2" xfId="64"/>
    <cellStyle name="Milliers 2 6 20" xfId="873"/>
    <cellStyle name="Milliers 2 6 21" xfId="924"/>
    <cellStyle name="Milliers 2 6 22" xfId="1317"/>
    <cellStyle name="Milliers 2 6 23" xfId="1445"/>
    <cellStyle name="Milliers 2 6 24" xfId="1169"/>
    <cellStyle name="Milliers 2 6 25" xfId="988"/>
    <cellStyle name="Milliers 2 6 26" xfId="1313"/>
    <cellStyle name="Milliers 2 6 27" xfId="1603"/>
    <cellStyle name="Milliers 2 6 28" xfId="1652"/>
    <cellStyle name="Milliers 2 6 29" xfId="1701"/>
    <cellStyle name="Milliers 2 6 3" xfId="108"/>
    <cellStyle name="Milliers 2 6 30" xfId="1750"/>
    <cellStyle name="Milliers 2 6 31" xfId="1799"/>
    <cellStyle name="Milliers 2 6 32" xfId="1848"/>
    <cellStyle name="Milliers 2 6 33" xfId="1897"/>
    <cellStyle name="Milliers 2 6 34" xfId="1946"/>
    <cellStyle name="Milliers 2 6 35" xfId="1995"/>
    <cellStyle name="Milliers 2 6 36" xfId="2044"/>
    <cellStyle name="Milliers 2 6 37" xfId="2093"/>
    <cellStyle name="Milliers 2 6 38" xfId="2141"/>
    <cellStyle name="Milliers 2 6 39" xfId="2187"/>
    <cellStyle name="Milliers 2 6 4" xfId="152"/>
    <cellStyle name="Milliers 2 6 40" xfId="2233"/>
    <cellStyle name="Milliers 2 6 41" xfId="2279"/>
    <cellStyle name="Milliers 2 6 42" xfId="2325"/>
    <cellStyle name="Milliers 2 6 43" xfId="2371"/>
    <cellStyle name="Milliers 2 6 44" xfId="2417"/>
    <cellStyle name="Milliers 2 6 45" xfId="2463"/>
    <cellStyle name="Milliers 2 6 46" xfId="2509"/>
    <cellStyle name="Milliers 2 6 47" xfId="2553"/>
    <cellStyle name="Milliers 2 6 48" xfId="2597"/>
    <cellStyle name="Milliers 2 6 49" xfId="2641"/>
    <cellStyle name="Milliers 2 6 5" xfId="196"/>
    <cellStyle name="Milliers 2 6 50" xfId="2684"/>
    <cellStyle name="Milliers 2 6 51" xfId="2727"/>
    <cellStyle name="Milliers 2 6 52" xfId="2770"/>
    <cellStyle name="Milliers 2 6 53" xfId="2812"/>
    <cellStyle name="Milliers 2 6 54" xfId="2853"/>
    <cellStyle name="Milliers 2 6 55" xfId="2894"/>
    <cellStyle name="Milliers 2 6 56" xfId="2934"/>
    <cellStyle name="Milliers 2 6 57" xfId="2974"/>
    <cellStyle name="Milliers 2 6 58" xfId="3014"/>
    <cellStyle name="Milliers 2 6 59" xfId="3053"/>
    <cellStyle name="Milliers 2 6 6" xfId="240"/>
    <cellStyle name="Milliers 2 6 60" xfId="3091"/>
    <cellStyle name="Milliers 2 6 61" xfId="3129"/>
    <cellStyle name="Milliers 2 6 62" xfId="3166"/>
    <cellStyle name="Milliers 2 6 63" xfId="3202"/>
    <cellStyle name="Milliers 2 6 64" xfId="3238"/>
    <cellStyle name="Milliers 2 6 65" xfId="3273"/>
    <cellStyle name="Milliers 2 6 66" xfId="3308"/>
    <cellStyle name="Milliers 2 6 67" xfId="3343"/>
    <cellStyle name="Milliers 2 6 68" xfId="3374"/>
    <cellStyle name="Milliers 2 6 69" xfId="3405"/>
    <cellStyle name="Milliers 2 6 7" xfId="284"/>
    <cellStyle name="Milliers 2 6 70" xfId="3433"/>
    <cellStyle name="Milliers 2 6 71" xfId="3459"/>
    <cellStyle name="Milliers 2 6 72" xfId="3485"/>
    <cellStyle name="Milliers 2 6 73" xfId="3509"/>
    <cellStyle name="Milliers 2 6 74" xfId="3531"/>
    <cellStyle name="Milliers 2 6 75" xfId="3624"/>
    <cellStyle name="Milliers 2 6 76" xfId="3683"/>
    <cellStyle name="Milliers 2 6 77" xfId="3966"/>
    <cellStyle name="Milliers 2 6 78" xfId="3757"/>
    <cellStyle name="Milliers 2 6 79" xfId="3924"/>
    <cellStyle name="Milliers 2 6 8" xfId="328"/>
    <cellStyle name="Milliers 2 6 80" xfId="3859"/>
    <cellStyle name="Milliers 2 6 81" xfId="4154"/>
    <cellStyle name="Milliers 2 6 82" xfId="3927"/>
    <cellStyle name="Milliers 2 6 83" xfId="3921"/>
    <cellStyle name="Milliers 2 6 9" xfId="372"/>
    <cellStyle name="Milliers 2 60" xfId="2535"/>
    <cellStyle name="Milliers 2 61" xfId="2579"/>
    <cellStyle name="Milliers 2 62" xfId="2623"/>
    <cellStyle name="Milliers 2 63" xfId="2666"/>
    <cellStyle name="Milliers 2 64" xfId="2709"/>
    <cellStyle name="Milliers 2 65" xfId="2752"/>
    <cellStyle name="Milliers 2 66" xfId="2794"/>
    <cellStyle name="Milliers 2 67" xfId="2835"/>
    <cellStyle name="Milliers 2 68" xfId="2876"/>
    <cellStyle name="Milliers 2 69" xfId="2917"/>
    <cellStyle name="Milliers 2 7" xfId="18"/>
    <cellStyle name="Milliers 2 7 10" xfId="417"/>
    <cellStyle name="Milliers 2 7 11" xfId="460"/>
    <cellStyle name="Milliers 2 7 12" xfId="504"/>
    <cellStyle name="Milliers 2 7 13" xfId="551"/>
    <cellStyle name="Milliers 2 7 14" xfId="595"/>
    <cellStyle name="Milliers 2 7 15" xfId="638"/>
    <cellStyle name="Milliers 2 7 16" xfId="680"/>
    <cellStyle name="Milliers 2 7 17" xfId="724"/>
    <cellStyle name="Milliers 2 7 18" xfId="781"/>
    <cellStyle name="Milliers 2 7 19" xfId="845"/>
    <cellStyle name="Milliers 2 7 2" xfId="65"/>
    <cellStyle name="Milliers 2 7 20" xfId="840"/>
    <cellStyle name="Milliers 2 7 21" xfId="925"/>
    <cellStyle name="Milliers 2 7 22" xfId="1276"/>
    <cellStyle name="Milliers 2 7 23" xfId="1179"/>
    <cellStyle name="Milliers 2 7 24" xfId="1261"/>
    <cellStyle name="Milliers 2 7 25" xfId="1141"/>
    <cellStyle name="Milliers 2 7 26" xfId="1570"/>
    <cellStyle name="Milliers 2 7 27" xfId="1319"/>
    <cellStyle name="Milliers 2 7 28" xfId="1335"/>
    <cellStyle name="Milliers 2 7 29" xfId="1334"/>
    <cellStyle name="Milliers 2 7 3" xfId="109"/>
    <cellStyle name="Milliers 2 7 30" xfId="1370"/>
    <cellStyle name="Milliers 2 7 31" xfId="1058"/>
    <cellStyle name="Milliers 2 7 32" xfId="1539"/>
    <cellStyle name="Milliers 2 7 33" xfId="1473"/>
    <cellStyle name="Milliers 2 7 34" xfId="1017"/>
    <cellStyle name="Milliers 2 7 35" xfId="1463"/>
    <cellStyle name="Milliers 2 7 36" xfId="1401"/>
    <cellStyle name="Milliers 2 7 37" xfId="1597"/>
    <cellStyle name="Milliers 2 7 38" xfId="1646"/>
    <cellStyle name="Milliers 2 7 39" xfId="1695"/>
    <cellStyle name="Milliers 2 7 4" xfId="153"/>
    <cellStyle name="Milliers 2 7 40" xfId="1744"/>
    <cellStyle name="Milliers 2 7 41" xfId="1793"/>
    <cellStyle name="Milliers 2 7 42" xfId="1842"/>
    <cellStyle name="Milliers 2 7 43" xfId="1891"/>
    <cellStyle name="Milliers 2 7 44" xfId="1940"/>
    <cellStyle name="Milliers 2 7 45" xfId="1989"/>
    <cellStyle name="Milliers 2 7 46" xfId="2038"/>
    <cellStyle name="Milliers 2 7 47" xfId="2087"/>
    <cellStyle name="Milliers 2 7 48" xfId="2135"/>
    <cellStyle name="Milliers 2 7 49" xfId="2182"/>
    <cellStyle name="Milliers 2 7 5" xfId="197"/>
    <cellStyle name="Milliers 2 7 50" xfId="2228"/>
    <cellStyle name="Milliers 2 7 51" xfId="2274"/>
    <cellStyle name="Milliers 2 7 52" xfId="2320"/>
    <cellStyle name="Milliers 2 7 53" xfId="2366"/>
    <cellStyle name="Milliers 2 7 54" xfId="2412"/>
    <cellStyle name="Milliers 2 7 55" xfId="2458"/>
    <cellStyle name="Milliers 2 7 56" xfId="2504"/>
    <cellStyle name="Milliers 2 7 57" xfId="2548"/>
    <cellStyle name="Milliers 2 7 58" xfId="2592"/>
    <cellStyle name="Milliers 2 7 59" xfId="2636"/>
    <cellStyle name="Milliers 2 7 6" xfId="241"/>
    <cellStyle name="Milliers 2 7 60" xfId="2679"/>
    <cellStyle name="Milliers 2 7 61" xfId="2722"/>
    <cellStyle name="Milliers 2 7 62" xfId="2765"/>
    <cellStyle name="Milliers 2 7 63" xfId="2807"/>
    <cellStyle name="Milliers 2 7 64" xfId="2848"/>
    <cellStyle name="Milliers 2 7 65" xfId="2889"/>
    <cellStyle name="Milliers 2 7 66" xfId="2929"/>
    <cellStyle name="Milliers 2 7 67" xfId="2969"/>
    <cellStyle name="Milliers 2 7 68" xfId="3009"/>
    <cellStyle name="Milliers 2 7 69" xfId="3048"/>
    <cellStyle name="Milliers 2 7 7" xfId="285"/>
    <cellStyle name="Milliers 2 7 70" xfId="3086"/>
    <cellStyle name="Milliers 2 7 71" xfId="3124"/>
    <cellStyle name="Milliers 2 7 72" xfId="3161"/>
    <cellStyle name="Milliers 2 7 73" xfId="3197"/>
    <cellStyle name="Milliers 2 7 74" xfId="3233"/>
    <cellStyle name="Milliers 2 7 75" xfId="3625"/>
    <cellStyle name="Milliers 2 7 76" xfId="4032"/>
    <cellStyle name="Milliers 2 7 77" xfId="4181"/>
    <cellStyle name="Milliers 2 7 78" xfId="3679"/>
    <cellStyle name="Milliers 2 7 79" xfId="4205"/>
    <cellStyle name="Milliers 2 7 8" xfId="329"/>
    <cellStyle name="Milliers 2 7 80" xfId="3658"/>
    <cellStyle name="Milliers 2 7 81" xfId="4146"/>
    <cellStyle name="Milliers 2 7 82" xfId="3783"/>
    <cellStyle name="Milliers 2 7 83" xfId="4190"/>
    <cellStyle name="Milliers 2 7 9" xfId="373"/>
    <cellStyle name="Milliers 2 70" xfId="2957"/>
    <cellStyle name="Milliers 2 71" xfId="2997"/>
    <cellStyle name="Milliers 2 72" xfId="3036"/>
    <cellStyle name="Milliers 2 73" xfId="3074"/>
    <cellStyle name="Milliers 2 74" xfId="3112"/>
    <cellStyle name="Milliers 2 75" xfId="3149"/>
    <cellStyle name="Milliers 2 76" xfId="3185"/>
    <cellStyle name="Milliers 2 77" xfId="3221"/>
    <cellStyle name="Milliers 2 78" xfId="3257"/>
    <cellStyle name="Milliers 2 79" xfId="3292"/>
    <cellStyle name="Milliers 2 8" xfId="19"/>
    <cellStyle name="Milliers 2 8 10" xfId="418"/>
    <cellStyle name="Milliers 2 8 11" xfId="461"/>
    <cellStyle name="Milliers 2 8 12" xfId="505"/>
    <cellStyle name="Milliers 2 8 13" xfId="552"/>
    <cellStyle name="Milliers 2 8 14" xfId="596"/>
    <cellStyle name="Milliers 2 8 15" xfId="639"/>
    <cellStyle name="Milliers 2 8 16" xfId="681"/>
    <cellStyle name="Milliers 2 8 17" xfId="725"/>
    <cellStyle name="Milliers 2 8 18" xfId="782"/>
    <cellStyle name="Milliers 2 8 19" xfId="838"/>
    <cellStyle name="Milliers 2 8 2" xfId="66"/>
    <cellStyle name="Milliers 2 8 20" xfId="890"/>
    <cellStyle name="Milliers 2 8 21" xfId="926"/>
    <cellStyle name="Milliers 2 8 22" xfId="1236"/>
    <cellStyle name="Milliers 2 8 23" xfId="1564"/>
    <cellStyle name="Milliers 2 8 24" xfId="1586"/>
    <cellStyle name="Milliers 2 8 25" xfId="1318"/>
    <cellStyle name="Milliers 2 8 26" xfId="1371"/>
    <cellStyle name="Milliers 2 8 27" xfId="1599"/>
    <cellStyle name="Milliers 2 8 28" xfId="1648"/>
    <cellStyle name="Milliers 2 8 29" xfId="1697"/>
    <cellStyle name="Milliers 2 8 3" xfId="110"/>
    <cellStyle name="Milliers 2 8 30" xfId="1746"/>
    <cellStyle name="Milliers 2 8 31" xfId="1795"/>
    <cellStyle name="Milliers 2 8 32" xfId="1844"/>
    <cellStyle name="Milliers 2 8 33" xfId="1893"/>
    <cellStyle name="Milliers 2 8 34" xfId="1942"/>
    <cellStyle name="Milliers 2 8 35" xfId="1991"/>
    <cellStyle name="Milliers 2 8 36" xfId="2040"/>
    <cellStyle name="Milliers 2 8 37" xfId="2089"/>
    <cellStyle name="Milliers 2 8 38" xfId="2137"/>
    <cellStyle name="Milliers 2 8 39" xfId="2184"/>
    <cellStyle name="Milliers 2 8 4" xfId="154"/>
    <cellStyle name="Milliers 2 8 40" xfId="2230"/>
    <cellStyle name="Milliers 2 8 41" xfId="2276"/>
    <cellStyle name="Milliers 2 8 42" xfId="2322"/>
    <cellStyle name="Milliers 2 8 43" xfId="2368"/>
    <cellStyle name="Milliers 2 8 44" xfId="2414"/>
    <cellStyle name="Milliers 2 8 45" xfId="2460"/>
    <cellStyle name="Milliers 2 8 46" xfId="2506"/>
    <cellStyle name="Milliers 2 8 47" xfId="2550"/>
    <cellStyle name="Milliers 2 8 48" xfId="2594"/>
    <cellStyle name="Milliers 2 8 49" xfId="2638"/>
    <cellStyle name="Milliers 2 8 5" xfId="198"/>
    <cellStyle name="Milliers 2 8 50" xfId="2681"/>
    <cellStyle name="Milliers 2 8 51" xfId="2724"/>
    <cellStyle name="Milliers 2 8 52" xfId="2767"/>
    <cellStyle name="Milliers 2 8 53" xfId="2809"/>
    <cellStyle name="Milliers 2 8 54" xfId="2850"/>
    <cellStyle name="Milliers 2 8 55" xfId="2891"/>
    <cellStyle name="Milliers 2 8 56" xfId="2931"/>
    <cellStyle name="Milliers 2 8 57" xfId="2971"/>
    <cellStyle name="Milliers 2 8 58" xfId="3011"/>
    <cellStyle name="Milliers 2 8 59" xfId="3050"/>
    <cellStyle name="Milliers 2 8 6" xfId="242"/>
    <cellStyle name="Milliers 2 8 60" xfId="3088"/>
    <cellStyle name="Milliers 2 8 61" xfId="3126"/>
    <cellStyle name="Milliers 2 8 62" xfId="3163"/>
    <cellStyle name="Milliers 2 8 63" xfId="3199"/>
    <cellStyle name="Milliers 2 8 64" xfId="3235"/>
    <cellStyle name="Milliers 2 8 65" xfId="3270"/>
    <cellStyle name="Milliers 2 8 66" xfId="3305"/>
    <cellStyle name="Milliers 2 8 67" xfId="3340"/>
    <cellStyle name="Milliers 2 8 68" xfId="3371"/>
    <cellStyle name="Milliers 2 8 69" xfId="3402"/>
    <cellStyle name="Milliers 2 8 7" xfId="286"/>
    <cellStyle name="Milliers 2 8 70" xfId="3430"/>
    <cellStyle name="Milliers 2 8 71" xfId="3456"/>
    <cellStyle name="Milliers 2 8 72" xfId="3482"/>
    <cellStyle name="Milliers 2 8 73" xfId="3506"/>
    <cellStyle name="Milliers 2 8 74" xfId="3529"/>
    <cellStyle name="Milliers 2 8 75" xfId="3626"/>
    <cellStyle name="Milliers 2 8 76" xfId="4015"/>
    <cellStyle name="Milliers 2 8 77" xfId="3994"/>
    <cellStyle name="Milliers 2 8 78" xfId="3733"/>
    <cellStyle name="Milliers 2 8 79" xfId="3815"/>
    <cellStyle name="Milliers 2 8 8" xfId="330"/>
    <cellStyle name="Milliers 2 8 80" xfId="3759"/>
    <cellStyle name="Milliers 2 8 81" xfId="3843"/>
    <cellStyle name="Milliers 2 8 82" xfId="3666"/>
    <cellStyle name="Milliers 2 8 83" xfId="3987"/>
    <cellStyle name="Milliers 2 8 9" xfId="374"/>
    <cellStyle name="Milliers 2 80" xfId="3327"/>
    <cellStyle name="Milliers 2 81" xfId="3359"/>
    <cellStyle name="Milliers 2 82" xfId="3390"/>
    <cellStyle name="Milliers 2 83" xfId="3619"/>
    <cellStyle name="Milliers 2 84" xfId="4187"/>
    <cellStyle name="Milliers 2 85" xfId="3853"/>
    <cellStyle name="Milliers 2 86" xfId="3939"/>
    <cellStyle name="Milliers 2 87" xfId="4097"/>
    <cellStyle name="Milliers 2 88" xfId="3874"/>
    <cellStyle name="Milliers 2 89" xfId="3665"/>
    <cellStyle name="Milliers 2 9" xfId="20"/>
    <cellStyle name="Milliers 2 9 10" xfId="419"/>
    <cellStyle name="Milliers 2 9 11" xfId="462"/>
    <cellStyle name="Milliers 2 9 12" xfId="506"/>
    <cellStyle name="Milliers 2 9 13" xfId="553"/>
    <cellStyle name="Milliers 2 9 14" xfId="597"/>
    <cellStyle name="Milliers 2 9 15" xfId="640"/>
    <cellStyle name="Milliers 2 9 16" xfId="682"/>
    <cellStyle name="Milliers 2 9 17" xfId="726"/>
    <cellStyle name="Milliers 2 9 18" xfId="783"/>
    <cellStyle name="Milliers 2 9 19" xfId="832"/>
    <cellStyle name="Milliers 2 9 2" xfId="67"/>
    <cellStyle name="Milliers 2 9 20" xfId="854"/>
    <cellStyle name="Milliers 2 9 21" xfId="927"/>
    <cellStyle name="Milliers 2 9 22" xfId="1200"/>
    <cellStyle name="Milliers 2 9 23" xfId="986"/>
    <cellStyle name="Milliers 2 9 24" xfId="1425"/>
    <cellStyle name="Milliers 2 9 25" xfId="1402"/>
    <cellStyle name="Milliers 2 9 26" xfId="1555"/>
    <cellStyle name="Milliers 2 9 27" xfId="1361"/>
    <cellStyle name="Milliers 2 9 28" xfId="1558"/>
    <cellStyle name="Milliers 2 9 29" xfId="1203"/>
    <cellStyle name="Milliers 2 9 3" xfId="111"/>
    <cellStyle name="Milliers 2 9 30" xfId="1071"/>
    <cellStyle name="Milliers 2 9 31" xfId="998"/>
    <cellStyle name="Milliers 2 9 32" xfId="1579"/>
    <cellStyle name="Milliers 2 9 33" xfId="961"/>
    <cellStyle name="Milliers 2 9 34" xfId="1198"/>
    <cellStyle name="Milliers 2 9 35" xfId="1184"/>
    <cellStyle name="Milliers 2 9 36" xfId="1032"/>
    <cellStyle name="Milliers 2 9 37" xfId="1387"/>
    <cellStyle name="Milliers 2 9 38" xfId="1556"/>
    <cellStyle name="Milliers 2 9 39" xfId="1320"/>
    <cellStyle name="Milliers 2 9 4" xfId="155"/>
    <cellStyle name="Milliers 2 9 40" xfId="1293"/>
    <cellStyle name="Milliers 2 9 41" xfId="1098"/>
    <cellStyle name="Milliers 2 9 42" xfId="1109"/>
    <cellStyle name="Milliers 2 9 43" xfId="1305"/>
    <cellStyle name="Milliers 2 9 44" xfId="1253"/>
    <cellStyle name="Milliers 2 9 45" xfId="1449"/>
    <cellStyle name="Milliers 2 9 46" xfId="956"/>
    <cellStyle name="Milliers 2 9 47" xfId="1391"/>
    <cellStyle name="Milliers 2 9 48" xfId="1367"/>
    <cellStyle name="Milliers 2 9 49" xfId="1134"/>
    <cellStyle name="Milliers 2 9 5" xfId="199"/>
    <cellStyle name="Milliers 2 9 50" xfId="1188"/>
    <cellStyle name="Milliers 2 9 51" xfId="1567"/>
    <cellStyle name="Milliers 2 9 52" xfId="1431"/>
    <cellStyle name="Milliers 2 9 53" xfId="1091"/>
    <cellStyle name="Milliers 2 9 54" xfId="1458"/>
    <cellStyle name="Milliers 2 9 55" xfId="1593"/>
    <cellStyle name="Milliers 2 9 56" xfId="1642"/>
    <cellStyle name="Milliers 2 9 57" xfId="1691"/>
    <cellStyle name="Milliers 2 9 58" xfId="1740"/>
    <cellStyle name="Milliers 2 9 59" xfId="1789"/>
    <cellStyle name="Milliers 2 9 6" xfId="243"/>
    <cellStyle name="Milliers 2 9 60" xfId="1838"/>
    <cellStyle name="Milliers 2 9 61" xfId="1887"/>
    <cellStyle name="Milliers 2 9 62" xfId="1936"/>
    <cellStyle name="Milliers 2 9 63" xfId="1985"/>
    <cellStyle name="Milliers 2 9 64" xfId="2034"/>
    <cellStyle name="Milliers 2 9 65" xfId="2083"/>
    <cellStyle name="Milliers 2 9 66" xfId="2131"/>
    <cellStyle name="Milliers 2 9 67" xfId="2178"/>
    <cellStyle name="Milliers 2 9 68" xfId="2224"/>
    <cellStyle name="Milliers 2 9 69" xfId="2270"/>
    <cellStyle name="Milliers 2 9 7" xfId="287"/>
    <cellStyle name="Milliers 2 9 70" xfId="2316"/>
    <cellStyle name="Milliers 2 9 71" xfId="2362"/>
    <cellStyle name="Milliers 2 9 72" xfId="2408"/>
    <cellStyle name="Milliers 2 9 73" xfId="2454"/>
    <cellStyle name="Milliers 2 9 74" xfId="2500"/>
    <cellStyle name="Milliers 2 9 75" xfId="3627"/>
    <cellStyle name="Milliers 2 9 76" xfId="3984"/>
    <cellStyle name="Milliers 2 9 77" xfId="3937"/>
    <cellStyle name="Milliers 2 9 78" xfId="4132"/>
    <cellStyle name="Milliers 2 9 79" xfId="4256"/>
    <cellStyle name="Milliers 2 9 8" xfId="331"/>
    <cellStyle name="Milliers 2 9 80" xfId="4172"/>
    <cellStyle name="Milliers 2 9 81" xfId="3891"/>
    <cellStyle name="Milliers 2 9 82" xfId="3793"/>
    <cellStyle name="Milliers 2 9 83" xfId="4000"/>
    <cellStyle name="Milliers 2 9 9" xfId="375"/>
    <cellStyle name="Milliers 2 90" xfId="3931"/>
    <cellStyle name="Milliers 2 91" xfId="3831"/>
    <cellStyle name="Milliers 3" xfId="21"/>
    <cellStyle name="Milliers 3 10" xfId="420"/>
    <cellStyle name="Milliers 3 11" xfId="463"/>
    <cellStyle name="Milliers 3 12" xfId="507"/>
    <cellStyle name="Milliers 3 13" xfId="554"/>
    <cellStyle name="Milliers 3 14" xfId="598"/>
    <cellStyle name="Milliers 3 15" xfId="641"/>
    <cellStyle name="Milliers 3 16" xfId="683"/>
    <cellStyle name="Milliers 3 17" xfId="727"/>
    <cellStyle name="Milliers 3 18" xfId="784"/>
    <cellStyle name="Milliers 3 19" xfId="821"/>
    <cellStyle name="Milliers 3 2" xfId="68"/>
    <cellStyle name="Milliers 3 20" xfId="874"/>
    <cellStyle name="Milliers 3 21" xfId="928"/>
    <cellStyle name="Milliers 3 22" xfId="1158"/>
    <cellStyle name="Milliers 3 23" xfId="992"/>
    <cellStyle name="Milliers 3 24" xfId="1155"/>
    <cellStyle name="Milliers 3 25" xfId="994"/>
    <cellStyle name="Milliers 3 26" xfId="1042"/>
    <cellStyle name="Milliers 3 27" xfId="1576"/>
    <cellStyle name="Milliers 3 28" xfId="1066"/>
    <cellStyle name="Milliers 3 29" xfId="1229"/>
    <cellStyle name="Milliers 3 3" xfId="112"/>
    <cellStyle name="Milliers 3 30" xfId="1258"/>
    <cellStyle name="Milliers 3 31" xfId="1256"/>
    <cellStyle name="Milliers 3 32" xfId="1339"/>
    <cellStyle name="Milliers 3 33" xfId="1175"/>
    <cellStyle name="Milliers 3 34" xfId="1416"/>
    <cellStyle name="Milliers 3 35" xfId="1518"/>
    <cellStyle name="Milliers 3 36" xfId="1014"/>
    <cellStyle name="Milliers 3 37" xfId="1578"/>
    <cellStyle name="Milliers 3 38" xfId="1010"/>
    <cellStyle name="Milliers 3 39" xfId="1041"/>
    <cellStyle name="Milliers 3 4" xfId="156"/>
    <cellStyle name="Milliers 3 40" xfId="1619"/>
    <cellStyle name="Milliers 3 41" xfId="1668"/>
    <cellStyle name="Milliers 3 42" xfId="1717"/>
    <cellStyle name="Milliers 3 43" xfId="1766"/>
    <cellStyle name="Milliers 3 44" xfId="1815"/>
    <cellStyle name="Milliers 3 45" xfId="1864"/>
    <cellStyle name="Milliers 3 46" xfId="1913"/>
    <cellStyle name="Milliers 3 47" xfId="1962"/>
    <cellStyle name="Milliers 3 48" xfId="2011"/>
    <cellStyle name="Milliers 3 49" xfId="2060"/>
    <cellStyle name="Milliers 3 5" xfId="200"/>
    <cellStyle name="Milliers 3 50" xfId="2109"/>
    <cellStyle name="Milliers 3 51" xfId="2156"/>
    <cellStyle name="Milliers 3 52" xfId="2202"/>
    <cellStyle name="Milliers 3 53" xfId="2248"/>
    <cellStyle name="Milliers 3 54" xfId="2294"/>
    <cellStyle name="Milliers 3 55" xfId="2340"/>
    <cellStyle name="Milliers 3 56" xfId="2386"/>
    <cellStyle name="Milliers 3 57" xfId="2432"/>
    <cellStyle name="Milliers 3 58" xfId="2478"/>
    <cellStyle name="Milliers 3 59" xfId="2523"/>
    <cellStyle name="Milliers 3 6" xfId="244"/>
    <cellStyle name="Milliers 3 60" xfId="2567"/>
    <cellStyle name="Milliers 3 61" xfId="2611"/>
    <cellStyle name="Milliers 3 62" xfId="2654"/>
    <cellStyle name="Milliers 3 63" xfId="2697"/>
    <cellStyle name="Milliers 3 64" xfId="2740"/>
    <cellStyle name="Milliers 3 65" xfId="2782"/>
    <cellStyle name="Milliers 3 66" xfId="2823"/>
    <cellStyle name="Milliers 3 67" xfId="2864"/>
    <cellStyle name="Milliers 3 68" xfId="2905"/>
    <cellStyle name="Milliers 3 69" xfId="2945"/>
    <cellStyle name="Milliers 3 7" xfId="288"/>
    <cellStyle name="Milliers 3 70" xfId="2985"/>
    <cellStyle name="Milliers 3 71" xfId="3025"/>
    <cellStyle name="Milliers 3 72" xfId="3063"/>
    <cellStyle name="Milliers 3 73" xfId="3101"/>
    <cellStyle name="Milliers 3 74" xfId="3138"/>
    <cellStyle name="Milliers 3 75" xfId="3628"/>
    <cellStyle name="Milliers 3 76" xfId="3968"/>
    <cellStyle name="Milliers 3 77" xfId="3693"/>
    <cellStyle name="Milliers 3 78" xfId="4229"/>
    <cellStyle name="Milliers 3 79" xfId="4270"/>
    <cellStyle name="Milliers 3 8" xfId="332"/>
    <cellStyle name="Milliers 3 80" xfId="4308"/>
    <cellStyle name="Milliers 3 81" xfId="4341"/>
    <cellStyle name="Milliers 3 82" xfId="4369"/>
    <cellStyle name="Milliers 3 83" xfId="4396"/>
    <cellStyle name="Milliers 3 9" xfId="376"/>
    <cellStyle name="Milliers 4" xfId="22"/>
    <cellStyle name="Milliers 4 10" xfId="421"/>
    <cellStyle name="Milliers 4 11" xfId="464"/>
    <cellStyle name="Milliers 4 12" xfId="508"/>
    <cellStyle name="Milliers 4 13" xfId="555"/>
    <cellStyle name="Milliers 4 14" xfId="599"/>
    <cellStyle name="Milliers 4 15" xfId="642"/>
    <cellStyle name="Milliers 4 16" xfId="684"/>
    <cellStyle name="Milliers 4 17" xfId="728"/>
    <cellStyle name="Milliers 4 18" xfId="785"/>
    <cellStyle name="Milliers 4 19" xfId="815"/>
    <cellStyle name="Milliers 4 2" xfId="69"/>
    <cellStyle name="Milliers 4 20" xfId="834"/>
    <cellStyle name="Milliers 4 21" xfId="929"/>
    <cellStyle name="Milliers 4 22" xfId="1119"/>
    <cellStyle name="Milliers 4 23" xfId="1535"/>
    <cellStyle name="Milliers 4 24" xfId="1081"/>
    <cellStyle name="Milliers 4 25" xfId="1266"/>
    <cellStyle name="Milliers 4 26" xfId="1563"/>
    <cellStyle name="Milliers 4 27" xfId="962"/>
    <cellStyle name="Milliers 4 28" xfId="1156"/>
    <cellStyle name="Milliers 4 29" xfId="955"/>
    <cellStyle name="Milliers 4 3" xfId="113"/>
    <cellStyle name="Milliers 4 30" xfId="1427"/>
    <cellStyle name="Milliers 4 31" xfId="1246"/>
    <cellStyle name="Milliers 4 32" xfId="1101"/>
    <cellStyle name="Milliers 4 33" xfId="1049"/>
    <cellStyle name="Milliers 4 34" xfId="1309"/>
    <cellStyle name="Milliers 4 35" xfId="1097"/>
    <cellStyle name="Milliers 4 36" xfId="1149"/>
    <cellStyle name="Milliers 4 37" xfId="1263"/>
    <cellStyle name="Milliers 4 38" xfId="1027"/>
    <cellStyle name="Milliers 4 39" xfId="1577"/>
    <cellStyle name="Milliers 4 4" xfId="157"/>
    <cellStyle name="Milliers 4 40" xfId="1050"/>
    <cellStyle name="Milliers 4 41" xfId="1268"/>
    <cellStyle name="Milliers 4 42" xfId="1488"/>
    <cellStyle name="Milliers 4 43" xfId="966"/>
    <cellStyle name="Milliers 4 44" xfId="1624"/>
    <cellStyle name="Milliers 4 45" xfId="1673"/>
    <cellStyle name="Milliers 4 46" xfId="1722"/>
    <cellStyle name="Milliers 4 47" xfId="1771"/>
    <cellStyle name="Milliers 4 48" xfId="1820"/>
    <cellStyle name="Milliers 4 49" xfId="1869"/>
    <cellStyle name="Milliers 4 5" xfId="201"/>
    <cellStyle name="Milliers 4 50" xfId="1918"/>
    <cellStyle name="Milliers 4 51" xfId="1967"/>
    <cellStyle name="Milliers 4 52" xfId="2016"/>
    <cellStyle name="Milliers 4 53" xfId="2065"/>
    <cellStyle name="Milliers 4 54" xfId="2114"/>
    <cellStyle name="Milliers 4 55" xfId="2161"/>
    <cellStyle name="Milliers 4 56" xfId="2207"/>
    <cellStyle name="Milliers 4 57" xfId="2253"/>
    <cellStyle name="Milliers 4 58" xfId="2299"/>
    <cellStyle name="Milliers 4 59" xfId="2345"/>
    <cellStyle name="Milliers 4 6" xfId="245"/>
    <cellStyle name="Milliers 4 60" xfId="2391"/>
    <cellStyle name="Milliers 4 61" xfId="2437"/>
    <cellStyle name="Milliers 4 62" xfId="2483"/>
    <cellStyle name="Milliers 4 63" xfId="2528"/>
    <cellStyle name="Milliers 4 64" xfId="2572"/>
    <cellStyle name="Milliers 4 65" xfId="2616"/>
    <cellStyle name="Milliers 4 66" xfId="2659"/>
    <cellStyle name="Milliers 4 67" xfId="2702"/>
    <cellStyle name="Milliers 4 68" xfId="2745"/>
    <cellStyle name="Milliers 4 69" xfId="2787"/>
    <cellStyle name="Milliers 4 7" xfId="289"/>
    <cellStyle name="Milliers 4 70" xfId="2828"/>
    <cellStyle name="Milliers 4 71" xfId="2869"/>
    <cellStyle name="Milliers 4 72" xfId="2910"/>
    <cellStyle name="Milliers 4 73" xfId="2950"/>
    <cellStyle name="Milliers 4 74" xfId="2990"/>
    <cellStyle name="Milliers 4 75" xfId="3629"/>
    <cellStyle name="Milliers 4 76" xfId="3949"/>
    <cellStyle name="Milliers 4 77" xfId="3977"/>
    <cellStyle name="Milliers 4 78" xfId="3992"/>
    <cellStyle name="Milliers 4 79" xfId="4066"/>
    <cellStyle name="Milliers 4 8" xfId="333"/>
    <cellStyle name="Milliers 4 80" xfId="3727"/>
    <cellStyle name="Milliers 4 81" xfId="3717"/>
    <cellStyle name="Milliers 4 82" xfId="4011"/>
    <cellStyle name="Milliers 4 83" xfId="4166"/>
    <cellStyle name="Milliers 4 9" xfId="377"/>
    <cellStyle name="Milliers 5" xfId="23"/>
    <cellStyle name="Milliers 5 10" xfId="422"/>
    <cellStyle name="Milliers 5 11" xfId="465"/>
    <cellStyle name="Milliers 5 12" xfId="509"/>
    <cellStyle name="Milliers 5 13" xfId="556"/>
    <cellStyle name="Milliers 5 14" xfId="600"/>
    <cellStyle name="Milliers 5 15" xfId="643"/>
    <cellStyle name="Milliers 5 16" xfId="685"/>
    <cellStyle name="Milliers 5 17" xfId="729"/>
    <cellStyle name="Milliers 5 18" xfId="786"/>
    <cellStyle name="Milliers 5 19" xfId="824"/>
    <cellStyle name="Milliers 5 2" xfId="70"/>
    <cellStyle name="Milliers 5 20" xfId="861"/>
    <cellStyle name="Milliers 5 21" xfId="930"/>
    <cellStyle name="Milliers 5 22" xfId="1046"/>
    <cellStyle name="Milliers 5 23" xfId="1422"/>
    <cellStyle name="Milliers 5 24" xfId="1553"/>
    <cellStyle name="Milliers 5 25" xfId="1472"/>
    <cellStyle name="Milliers 5 26" xfId="1088"/>
    <cellStyle name="Milliers 5 27" xfId="1573"/>
    <cellStyle name="Milliers 5 28" xfId="1160"/>
    <cellStyle name="Milliers 5 29" xfId="1008"/>
    <cellStyle name="Milliers 5 3" xfId="114"/>
    <cellStyle name="Milliers 5 30" xfId="1154"/>
    <cellStyle name="Milliers 5 31" xfId="957"/>
    <cellStyle name="Milliers 5 32" xfId="1356"/>
    <cellStyle name="Milliers 5 33" xfId="1095"/>
    <cellStyle name="Milliers 5 34" xfId="1265"/>
    <cellStyle name="Milliers 5 35" xfId="1606"/>
    <cellStyle name="Milliers 5 36" xfId="1655"/>
    <cellStyle name="Milliers 5 37" xfId="1704"/>
    <cellStyle name="Milliers 5 38" xfId="1753"/>
    <cellStyle name="Milliers 5 39" xfId="1802"/>
    <cellStyle name="Milliers 5 4" xfId="158"/>
    <cellStyle name="Milliers 5 40" xfId="1851"/>
    <cellStyle name="Milliers 5 41" xfId="1900"/>
    <cellStyle name="Milliers 5 42" xfId="1949"/>
    <cellStyle name="Milliers 5 43" xfId="1998"/>
    <cellStyle name="Milliers 5 44" xfId="2047"/>
    <cellStyle name="Milliers 5 45" xfId="2096"/>
    <cellStyle name="Milliers 5 46" xfId="2144"/>
    <cellStyle name="Milliers 5 47" xfId="2190"/>
    <cellStyle name="Milliers 5 48" xfId="2236"/>
    <cellStyle name="Milliers 5 49" xfId="2282"/>
    <cellStyle name="Milliers 5 5" xfId="202"/>
    <cellStyle name="Milliers 5 50" xfId="2328"/>
    <cellStyle name="Milliers 5 51" xfId="2374"/>
    <cellStyle name="Milliers 5 52" xfId="2420"/>
    <cellStyle name="Milliers 5 53" xfId="2466"/>
    <cellStyle name="Milliers 5 54" xfId="2512"/>
    <cellStyle name="Milliers 5 55" xfId="2556"/>
    <cellStyle name="Milliers 5 56" xfId="2600"/>
    <cellStyle name="Milliers 5 57" xfId="2644"/>
    <cellStyle name="Milliers 5 58" xfId="2687"/>
    <cellStyle name="Milliers 5 59" xfId="2730"/>
    <cellStyle name="Milliers 5 6" xfId="246"/>
    <cellStyle name="Milliers 5 60" xfId="2773"/>
    <cellStyle name="Milliers 5 61" xfId="2815"/>
    <cellStyle name="Milliers 5 62" xfId="2856"/>
    <cellStyle name="Milliers 5 63" xfId="2897"/>
    <cellStyle name="Milliers 5 64" xfId="2937"/>
    <cellStyle name="Milliers 5 65" xfId="2977"/>
    <cellStyle name="Milliers 5 66" xfId="3017"/>
    <cellStyle name="Milliers 5 67" xfId="3056"/>
    <cellStyle name="Milliers 5 68" xfId="3094"/>
    <cellStyle name="Milliers 5 69" xfId="3132"/>
    <cellStyle name="Milliers 5 7" xfId="290"/>
    <cellStyle name="Milliers 5 70" xfId="3169"/>
    <cellStyle name="Milliers 5 71" xfId="3205"/>
    <cellStyle name="Milliers 5 72" xfId="3241"/>
    <cellStyle name="Milliers 5 73" xfId="3276"/>
    <cellStyle name="Milliers 5 74" xfId="3311"/>
    <cellStyle name="Milliers 5 75" xfId="3630"/>
    <cellStyle name="Milliers 5 76" xfId="3930"/>
    <cellStyle name="Milliers 5 77" xfId="3713"/>
    <cellStyle name="Milliers 5 78" xfId="3961"/>
    <cellStyle name="Milliers 5 79" xfId="3956"/>
    <cellStyle name="Milliers 5 8" xfId="334"/>
    <cellStyle name="Milliers 5 80" xfId="4170"/>
    <cellStyle name="Milliers 5 81" xfId="4064"/>
    <cellStyle name="Milliers 5 82" xfId="3814"/>
    <cellStyle name="Milliers 5 83" xfId="4280"/>
    <cellStyle name="Milliers 5 9" xfId="378"/>
    <cellStyle name="Milliers 6" xfId="24"/>
    <cellStyle name="Milliers 6 10" xfId="423"/>
    <cellStyle name="Milliers 6 11" xfId="466"/>
    <cellStyle name="Milliers 6 12" xfId="510"/>
    <cellStyle name="Milliers 6 13" xfId="557"/>
    <cellStyle name="Milliers 6 14" xfId="601"/>
    <cellStyle name="Milliers 6 15" xfId="644"/>
    <cellStyle name="Milliers 6 16" xfId="686"/>
    <cellStyle name="Milliers 6 17" xfId="730"/>
    <cellStyle name="Milliers 6 18" xfId="787"/>
    <cellStyle name="Milliers 6 19" xfId="897"/>
    <cellStyle name="Milliers 6 2" xfId="71"/>
    <cellStyle name="Milliers 6 20" xfId="835"/>
    <cellStyle name="Milliers 6 21" xfId="931"/>
    <cellStyle name="Milliers 6 22" xfId="1006"/>
    <cellStyle name="Milliers 6 23" xfId="1231"/>
    <cellStyle name="Milliers 6 24" xfId="1102"/>
    <cellStyle name="Milliers 6 25" xfId="1616"/>
    <cellStyle name="Milliers 6 26" xfId="1665"/>
    <cellStyle name="Milliers 6 27" xfId="1714"/>
    <cellStyle name="Milliers 6 28" xfId="1763"/>
    <cellStyle name="Milliers 6 29" xfId="1812"/>
    <cellStyle name="Milliers 6 3" xfId="115"/>
    <cellStyle name="Milliers 6 30" xfId="1861"/>
    <cellStyle name="Milliers 6 31" xfId="1910"/>
    <cellStyle name="Milliers 6 32" xfId="1959"/>
    <cellStyle name="Milliers 6 33" xfId="2008"/>
    <cellStyle name="Milliers 6 34" xfId="2057"/>
    <cellStyle name="Milliers 6 35" xfId="2106"/>
    <cellStyle name="Milliers 6 36" xfId="2153"/>
    <cellStyle name="Milliers 6 37" xfId="2199"/>
    <cellStyle name="Milliers 6 38" xfId="2245"/>
    <cellStyle name="Milliers 6 39" xfId="2291"/>
    <cellStyle name="Milliers 6 4" xfId="159"/>
    <cellStyle name="Milliers 6 40" xfId="2337"/>
    <cellStyle name="Milliers 6 41" xfId="2383"/>
    <cellStyle name="Milliers 6 42" xfId="2429"/>
    <cellStyle name="Milliers 6 43" xfId="2475"/>
    <cellStyle name="Milliers 6 44" xfId="2521"/>
    <cellStyle name="Milliers 6 45" xfId="2565"/>
    <cellStyle name="Milliers 6 46" xfId="2609"/>
    <cellStyle name="Milliers 6 47" xfId="2652"/>
    <cellStyle name="Milliers 6 48" xfId="2695"/>
    <cellStyle name="Milliers 6 49" xfId="2738"/>
    <cellStyle name="Milliers 6 5" xfId="203"/>
    <cellStyle name="Milliers 6 50" xfId="2780"/>
    <cellStyle name="Milliers 6 51" xfId="2822"/>
    <cellStyle name="Milliers 6 52" xfId="2863"/>
    <cellStyle name="Milliers 6 53" xfId="2904"/>
    <cellStyle name="Milliers 6 54" xfId="2944"/>
    <cellStyle name="Milliers 6 55" xfId="2984"/>
    <cellStyle name="Milliers 6 56" xfId="3024"/>
    <cellStyle name="Milliers 6 57" xfId="3062"/>
    <cellStyle name="Milliers 6 58" xfId="3100"/>
    <cellStyle name="Milliers 6 59" xfId="3137"/>
    <cellStyle name="Milliers 6 6" xfId="247"/>
    <cellStyle name="Milliers 6 60" xfId="3174"/>
    <cellStyle name="Milliers 6 61" xfId="3210"/>
    <cellStyle name="Milliers 6 62" xfId="3246"/>
    <cellStyle name="Milliers 6 63" xfId="3281"/>
    <cellStyle name="Milliers 6 64" xfId="3316"/>
    <cellStyle name="Milliers 6 65" xfId="3350"/>
    <cellStyle name="Milliers 6 66" xfId="3381"/>
    <cellStyle name="Milliers 6 67" xfId="3411"/>
    <cellStyle name="Milliers 6 68" xfId="3439"/>
    <cellStyle name="Milliers 6 69" xfId="3465"/>
    <cellStyle name="Milliers 6 7" xfId="291"/>
    <cellStyle name="Milliers 6 70" xfId="3491"/>
    <cellStyle name="Milliers 6 71" xfId="3514"/>
    <cellStyle name="Milliers 6 72" xfId="3536"/>
    <cellStyle name="Milliers 6 73" xfId="3552"/>
    <cellStyle name="Milliers 6 74" xfId="3568"/>
    <cellStyle name="Milliers 6 75" xfId="3631"/>
    <cellStyle name="Milliers 6 76" xfId="3912"/>
    <cellStyle name="Milliers 6 77" xfId="3667"/>
    <cellStyle name="Milliers 6 78" xfId="4017"/>
    <cellStyle name="Milliers 6 79" xfId="3855"/>
    <cellStyle name="Milliers 6 8" xfId="335"/>
    <cellStyle name="Milliers 6 80" xfId="3840"/>
    <cellStyle name="Milliers 6 81" xfId="3878"/>
    <cellStyle name="Milliers 6 82" xfId="3818"/>
    <cellStyle name="Milliers 6 83" xfId="4148"/>
    <cellStyle name="Milliers 6 9" xfId="379"/>
    <cellStyle name="Milliers 7" xfId="25"/>
    <cellStyle name="Milliers 7 10" xfId="424"/>
    <cellStyle name="Milliers 7 11" xfId="467"/>
    <cellStyle name="Milliers 7 12" xfId="511"/>
    <cellStyle name="Milliers 7 13" xfId="558"/>
    <cellStyle name="Milliers 7 14" xfId="602"/>
    <cellStyle name="Milliers 7 15" xfId="645"/>
    <cellStyle name="Milliers 7 16" xfId="687"/>
    <cellStyle name="Milliers 7 17" xfId="731"/>
    <cellStyle name="Milliers 7 18" xfId="788"/>
    <cellStyle name="Milliers 7 19" xfId="892"/>
    <cellStyle name="Milliers 7 2" xfId="72"/>
    <cellStyle name="Milliers 7 20" xfId="875"/>
    <cellStyle name="Milliers 7 21" xfId="932"/>
    <cellStyle name="Milliers 7 22" xfId="1143"/>
    <cellStyle name="Milliers 7 23" xfId="1418"/>
    <cellStyle name="Milliers 7 24" xfId="1439"/>
    <cellStyle name="Milliers 7 25" xfId="1366"/>
    <cellStyle name="Milliers 7 26" xfId="1250"/>
    <cellStyle name="Milliers 7 27" xfId="1607"/>
    <cellStyle name="Milliers 7 28" xfId="1656"/>
    <cellStyle name="Milliers 7 29" xfId="1705"/>
    <cellStyle name="Milliers 7 3" xfId="116"/>
    <cellStyle name="Milliers 7 30" xfId="1754"/>
    <cellStyle name="Milliers 7 31" xfId="1803"/>
    <cellStyle name="Milliers 7 32" xfId="1852"/>
    <cellStyle name="Milliers 7 33" xfId="1901"/>
    <cellStyle name="Milliers 7 34" xfId="1950"/>
    <cellStyle name="Milliers 7 35" xfId="1999"/>
    <cellStyle name="Milliers 7 36" xfId="2048"/>
    <cellStyle name="Milliers 7 37" xfId="2097"/>
    <cellStyle name="Milliers 7 38" xfId="2145"/>
    <cellStyle name="Milliers 7 39" xfId="2191"/>
    <cellStyle name="Milliers 7 4" xfId="160"/>
    <cellStyle name="Milliers 7 40" xfId="2237"/>
    <cellStyle name="Milliers 7 41" xfId="2283"/>
    <cellStyle name="Milliers 7 42" xfId="2329"/>
    <cellStyle name="Milliers 7 43" xfId="2375"/>
    <cellStyle name="Milliers 7 44" xfId="2421"/>
    <cellStyle name="Milliers 7 45" xfId="2467"/>
    <cellStyle name="Milliers 7 46" xfId="2513"/>
    <cellStyle name="Milliers 7 47" xfId="2557"/>
    <cellStyle name="Milliers 7 48" xfId="2601"/>
    <cellStyle name="Milliers 7 49" xfId="2645"/>
    <cellStyle name="Milliers 7 5" xfId="204"/>
    <cellStyle name="Milliers 7 50" xfId="2688"/>
    <cellStyle name="Milliers 7 51" xfId="2731"/>
    <cellStyle name="Milliers 7 52" xfId="2774"/>
    <cellStyle name="Milliers 7 53" xfId="2816"/>
    <cellStyle name="Milliers 7 54" xfId="2857"/>
    <cellStyle name="Milliers 7 55" xfId="2898"/>
    <cellStyle name="Milliers 7 56" xfId="2938"/>
    <cellStyle name="Milliers 7 57" xfId="2978"/>
    <cellStyle name="Milliers 7 58" xfId="3018"/>
    <cellStyle name="Milliers 7 59" xfId="3057"/>
    <cellStyle name="Milliers 7 6" xfId="248"/>
    <cellStyle name="Milliers 7 60" xfId="3095"/>
    <cellStyle name="Milliers 7 61" xfId="3133"/>
    <cellStyle name="Milliers 7 62" xfId="3170"/>
    <cellStyle name="Milliers 7 63" xfId="3206"/>
    <cellStyle name="Milliers 7 64" xfId="3242"/>
    <cellStyle name="Milliers 7 65" xfId="3277"/>
    <cellStyle name="Milliers 7 66" xfId="3312"/>
    <cellStyle name="Milliers 7 67" xfId="3346"/>
    <cellStyle name="Milliers 7 68" xfId="3377"/>
    <cellStyle name="Milliers 7 69" xfId="3407"/>
    <cellStyle name="Milliers 7 7" xfId="292"/>
    <cellStyle name="Milliers 7 70" xfId="3435"/>
    <cellStyle name="Milliers 7 71" xfId="3461"/>
    <cellStyle name="Milliers 7 72" xfId="3487"/>
    <cellStyle name="Milliers 7 73" xfId="3511"/>
    <cellStyle name="Milliers 7 74" xfId="3533"/>
    <cellStyle name="Milliers 7 75" xfId="3632"/>
    <cellStyle name="Milliers 7 76" xfId="3889"/>
    <cellStyle name="Milliers 7 77" xfId="3795"/>
    <cellStyle name="Milliers 7 78" xfId="3929"/>
    <cellStyle name="Milliers 7 79" xfId="3758"/>
    <cellStyle name="Milliers 7 8" xfId="336"/>
    <cellStyle name="Milliers 7 80" xfId="3863"/>
    <cellStyle name="Milliers 7 81" xfId="3740"/>
    <cellStyle name="Milliers 7 82" xfId="3844"/>
    <cellStyle name="Milliers 7 83" xfId="3718"/>
    <cellStyle name="Milliers 7 9" xfId="380"/>
    <cellStyle name="Milliers 8" xfId="26"/>
    <cellStyle name="Milliers 8 10" xfId="425"/>
    <cellStyle name="Milliers 8 11" xfId="468"/>
    <cellStyle name="Milliers 8 12" xfId="512"/>
    <cellStyle name="Milliers 8 13" xfId="559"/>
    <cellStyle name="Milliers 8 14" xfId="603"/>
    <cellStyle name="Milliers 8 15" xfId="646"/>
    <cellStyle name="Milliers 8 16" xfId="688"/>
    <cellStyle name="Milliers 8 17" xfId="732"/>
    <cellStyle name="Milliers 8 18" xfId="789"/>
    <cellStyle name="Milliers 8 19" xfId="887"/>
    <cellStyle name="Milliers 8 2" xfId="73"/>
    <cellStyle name="Milliers 8 20" xfId="906"/>
    <cellStyle name="Milliers 8 21" xfId="933"/>
    <cellStyle name="Milliers 8 22" xfId="1626"/>
    <cellStyle name="Milliers 8 23" xfId="1675"/>
    <cellStyle name="Milliers 8 24" xfId="1724"/>
    <cellStyle name="Milliers 8 25" xfId="1773"/>
    <cellStyle name="Milliers 8 26" xfId="1822"/>
    <cellStyle name="Milliers 8 27" xfId="1871"/>
    <cellStyle name="Milliers 8 28" xfId="1920"/>
    <cellStyle name="Milliers 8 29" xfId="1969"/>
    <cellStyle name="Milliers 8 3" xfId="117"/>
    <cellStyle name="Milliers 8 30" xfId="2018"/>
    <cellStyle name="Milliers 8 31" xfId="2067"/>
    <cellStyle name="Milliers 8 32" xfId="2116"/>
    <cellStyle name="Milliers 8 33" xfId="2163"/>
    <cellStyle name="Milliers 8 34" xfId="2209"/>
    <cellStyle name="Milliers 8 35" xfId="2255"/>
    <cellStyle name="Milliers 8 36" xfId="2301"/>
    <cellStyle name="Milliers 8 37" xfId="2347"/>
    <cellStyle name="Milliers 8 38" xfId="2393"/>
    <cellStyle name="Milliers 8 39" xfId="2439"/>
    <cellStyle name="Milliers 8 4" xfId="161"/>
    <cellStyle name="Milliers 8 40" xfId="2485"/>
    <cellStyle name="Milliers 8 41" xfId="2530"/>
    <cellStyle name="Milliers 8 42" xfId="2574"/>
    <cellStyle name="Milliers 8 43" xfId="2618"/>
    <cellStyle name="Milliers 8 44" xfId="2661"/>
    <cellStyle name="Milliers 8 45" xfId="2704"/>
    <cellStyle name="Milliers 8 46" xfId="2747"/>
    <cellStyle name="Milliers 8 47" xfId="2789"/>
    <cellStyle name="Milliers 8 48" xfId="2830"/>
    <cellStyle name="Milliers 8 49" xfId="2871"/>
    <cellStyle name="Milliers 8 5" xfId="205"/>
    <cellStyle name="Milliers 8 50" xfId="2912"/>
    <cellStyle name="Milliers 8 51" xfId="2952"/>
    <cellStyle name="Milliers 8 52" xfId="2992"/>
    <cellStyle name="Milliers 8 53" xfId="3031"/>
    <cellStyle name="Milliers 8 54" xfId="3069"/>
    <cellStyle name="Milliers 8 55" xfId="3107"/>
    <cellStyle name="Milliers 8 56" xfId="3144"/>
    <cellStyle name="Milliers 8 57" xfId="3180"/>
    <cellStyle name="Milliers 8 58" xfId="3216"/>
    <cellStyle name="Milliers 8 59" xfId="3252"/>
    <cellStyle name="Milliers 8 6" xfId="249"/>
    <cellStyle name="Milliers 8 60" xfId="3287"/>
    <cellStyle name="Milliers 8 61" xfId="3322"/>
    <cellStyle name="Milliers 8 62" xfId="3354"/>
    <cellStyle name="Milliers 8 63" xfId="3385"/>
    <cellStyle name="Milliers 8 64" xfId="3414"/>
    <cellStyle name="Milliers 8 65" xfId="3442"/>
    <cellStyle name="Milliers 8 66" xfId="3468"/>
    <cellStyle name="Milliers 8 67" xfId="3494"/>
    <cellStyle name="Milliers 8 68" xfId="3517"/>
    <cellStyle name="Milliers 8 69" xfId="3539"/>
    <cellStyle name="Milliers 8 7" xfId="293"/>
    <cellStyle name="Milliers 8 70" xfId="3555"/>
    <cellStyle name="Milliers 8 71" xfId="3570"/>
    <cellStyle name="Milliers 8 72" xfId="3581"/>
    <cellStyle name="Milliers 8 73" xfId="3590"/>
    <cellStyle name="Milliers 8 74" xfId="3598"/>
    <cellStyle name="Milliers 8 75" xfId="3633"/>
    <cellStyle name="Milliers 8 76" xfId="3869"/>
    <cellStyle name="Milliers 8 77" xfId="4003"/>
    <cellStyle name="Milliers 8 78" xfId="4236"/>
    <cellStyle name="Milliers 8 79" xfId="3885"/>
    <cellStyle name="Milliers 8 8" xfId="337"/>
    <cellStyle name="Milliers 8 80" xfId="3669"/>
    <cellStyle name="Milliers 8 81" xfId="3841"/>
    <cellStyle name="Milliers 8 82" xfId="3794"/>
    <cellStyle name="Milliers 8 83" xfId="3923"/>
    <cellStyle name="Milliers 8 9" xfId="381"/>
    <cellStyle name="Milliers 9" xfId="27"/>
    <cellStyle name="Milliers 9 10" xfId="426"/>
    <cellStyle name="Milliers 9 11" xfId="469"/>
    <cellStyle name="Milliers 9 12" xfId="513"/>
    <cellStyle name="Milliers 9 13" xfId="560"/>
    <cellStyle name="Milliers 9 14" xfId="604"/>
    <cellStyle name="Milliers 9 15" xfId="647"/>
    <cellStyle name="Milliers 9 16" xfId="689"/>
    <cellStyle name="Milliers 9 17" xfId="733"/>
    <cellStyle name="Milliers 9 18" xfId="790"/>
    <cellStyle name="Milliers 9 19" xfId="883"/>
    <cellStyle name="Milliers 9 2" xfId="74"/>
    <cellStyle name="Milliers 9 20" xfId="903"/>
    <cellStyle name="Milliers 9 21" xfId="934"/>
    <cellStyle name="Milliers 9 22" xfId="1583"/>
    <cellStyle name="Milliers 9 23" xfId="1430"/>
    <cellStyle name="Milliers 9 24" xfId="1130"/>
    <cellStyle name="Milliers 9 25" xfId="1417"/>
    <cellStyle name="Milliers 9 26" xfId="1479"/>
    <cellStyle name="Milliers 9 27" xfId="1400"/>
    <cellStyle name="Milliers 9 28" xfId="1059"/>
    <cellStyle name="Milliers 9 29" xfId="1499"/>
    <cellStyle name="Milliers 9 3" xfId="118"/>
    <cellStyle name="Milliers 9 30" xfId="1165"/>
    <cellStyle name="Milliers 9 31" xfId="1186"/>
    <cellStyle name="Milliers 9 32" xfId="1053"/>
    <cellStyle name="Milliers 9 33" xfId="1111"/>
    <cellStyle name="Milliers 9 34" xfId="1189"/>
    <cellStyle name="Milliers 9 35" xfId="1531"/>
    <cellStyle name="Milliers 9 36" xfId="1123"/>
    <cellStyle name="Milliers 9 37" xfId="1346"/>
    <cellStyle name="Milliers 9 38" xfId="1523"/>
    <cellStyle name="Milliers 9 39" xfId="1511"/>
    <cellStyle name="Milliers 9 4" xfId="162"/>
    <cellStyle name="Milliers 9 40" xfId="1323"/>
    <cellStyle name="Milliers 9 41" xfId="1176"/>
    <cellStyle name="Milliers 9 42" xfId="1379"/>
    <cellStyle name="Milliers 9 43" xfId="1249"/>
    <cellStyle name="Milliers 9 44" xfId="1054"/>
    <cellStyle name="Milliers 9 45" xfId="999"/>
    <cellStyle name="Milliers 9 46" xfId="1543"/>
    <cellStyle name="Milliers 9 47" xfId="1321"/>
    <cellStyle name="Milliers 9 48" xfId="1252"/>
    <cellStyle name="Milliers 9 49" xfId="1489"/>
    <cellStyle name="Milliers 9 5" xfId="206"/>
    <cellStyle name="Milliers 9 50" xfId="1062"/>
    <cellStyle name="Milliers 9 51" xfId="1385"/>
    <cellStyle name="Milliers 9 52" xfId="1076"/>
    <cellStyle name="Milliers 9 53" xfId="1459"/>
    <cellStyle name="Milliers 9 54" xfId="1552"/>
    <cellStyle name="Milliers 9 55" xfId="1509"/>
    <cellStyle name="Milliers 9 56" xfId="1398"/>
    <cellStyle name="Milliers 9 57" xfId="1020"/>
    <cellStyle name="Milliers 9 58" xfId="1270"/>
    <cellStyle name="Milliers 9 59" xfId="1410"/>
    <cellStyle name="Milliers 9 6" xfId="250"/>
    <cellStyle name="Milliers 9 60" xfId="1092"/>
    <cellStyle name="Milliers 9 61" xfId="1419"/>
    <cellStyle name="Milliers 9 62" xfId="1329"/>
    <cellStyle name="Milliers 9 63" xfId="1602"/>
    <cellStyle name="Milliers 9 64" xfId="1651"/>
    <cellStyle name="Milliers 9 65" xfId="1700"/>
    <cellStyle name="Milliers 9 66" xfId="1749"/>
    <cellStyle name="Milliers 9 67" xfId="1798"/>
    <cellStyle name="Milliers 9 68" xfId="1847"/>
    <cellStyle name="Milliers 9 69" xfId="1896"/>
    <cellStyle name="Milliers 9 7" xfId="294"/>
    <cellStyle name="Milliers 9 70" xfId="1945"/>
    <cellStyle name="Milliers 9 71" xfId="1994"/>
    <cellStyle name="Milliers 9 72" xfId="2043"/>
    <cellStyle name="Milliers 9 73" xfId="2092"/>
    <cellStyle name="Milliers 9 74" xfId="2140"/>
    <cellStyle name="Milliers 9 75" xfId="3634"/>
    <cellStyle name="Milliers 9 76" xfId="3852"/>
    <cellStyle name="Milliers 9 77" xfId="3761"/>
    <cellStyle name="Milliers 9 78" xfId="3876"/>
    <cellStyle name="Milliers 9 79" xfId="3920"/>
    <cellStyle name="Milliers 9 8" xfId="338"/>
    <cellStyle name="Milliers 9 80" xfId="4200"/>
    <cellStyle name="Milliers 9 81" xfId="3828"/>
    <cellStyle name="Milliers 9 82" xfId="3879"/>
    <cellStyle name="Milliers 9 83" xfId="4001"/>
    <cellStyle name="Milliers 9 9" xfId="382"/>
    <cellStyle name="Normal" xfId="0" builtinId="0"/>
    <cellStyle name="Normal 10" xfId="753"/>
    <cellStyle name="Normal 11" xfId="754"/>
    <cellStyle name="Normal 12" xfId="755"/>
    <cellStyle name="Normal 13" xfId="756"/>
    <cellStyle name="Normal 14" xfId="765"/>
    <cellStyle name="Normal 14 2" xfId="850"/>
    <cellStyle name="Normal 15" xfId="867"/>
    <cellStyle name="Normal 2" xfId="28"/>
    <cellStyle name="Normal 2 10" xfId="427"/>
    <cellStyle name="Normal 2 11" xfId="470"/>
    <cellStyle name="Normal 2 12" xfId="514"/>
    <cellStyle name="Normal 2 13" xfId="561"/>
    <cellStyle name="Normal 2 14" xfId="605"/>
    <cellStyle name="Normal 2 15" xfId="648"/>
    <cellStyle name="Normal 2 16" xfId="690"/>
    <cellStyle name="Normal 2 17" xfId="734"/>
    <cellStyle name="Normal 2 18" xfId="791"/>
    <cellStyle name="Normal 2 19" xfId="877"/>
    <cellStyle name="Normal 2 2" xfId="75"/>
    <cellStyle name="Normal 2 20" xfId="825"/>
    <cellStyle name="Normal 2 21" xfId="935"/>
    <cellStyle name="Normal 2 22" xfId="1546"/>
    <cellStyle name="Normal 2 23" xfId="1162"/>
    <cellStyle name="Normal 2 24" xfId="1302"/>
    <cellStyle name="Normal 2 25" xfId="1372"/>
    <cellStyle name="Normal 2 26" xfId="1557"/>
    <cellStyle name="Normal 2 27" xfId="1238"/>
    <cellStyle name="Normal 2 28" xfId="1450"/>
    <cellStyle name="Normal 2 29" xfId="1285"/>
    <cellStyle name="Normal 2 3" xfId="119"/>
    <cellStyle name="Normal 2 30" xfId="1447"/>
    <cellStyle name="Normal 2 31" xfId="1090"/>
    <cellStyle name="Normal 2 32" xfId="1497"/>
    <cellStyle name="Normal 2 33" xfId="1241"/>
    <cellStyle name="Normal 2 34" xfId="1298"/>
    <cellStyle name="Normal 2 35" xfId="1561"/>
    <cellStyle name="Normal 2 36" xfId="1067"/>
    <cellStyle name="Normal 2 37" xfId="1192"/>
    <cellStyle name="Normal 2 38" xfId="1415"/>
    <cellStyle name="Normal 2 39" xfId="1554"/>
    <cellStyle name="Normal 2 4" xfId="163"/>
    <cellStyle name="Normal 2 40" xfId="1396"/>
    <cellStyle name="Normal 2 41" xfId="1172"/>
    <cellStyle name="Normal 2 42" xfId="1568"/>
    <cellStyle name="Normal 2 43" xfId="1395"/>
    <cellStyle name="Normal 2 44" xfId="1213"/>
    <cellStyle name="Normal 2 45" xfId="983"/>
    <cellStyle name="Normal 2 46" xfId="1580"/>
    <cellStyle name="Normal 2 47" xfId="1065"/>
    <cellStyle name="Normal 2 48" xfId="1267"/>
    <cellStyle name="Normal 2 49" xfId="1527"/>
    <cellStyle name="Normal 2 5" xfId="207"/>
    <cellStyle name="Normal 2 50" xfId="1322"/>
    <cellStyle name="Normal 2 51" xfId="1217"/>
    <cellStyle name="Normal 2 52" xfId="1222"/>
    <cellStyle name="Normal 2 53" xfId="1609"/>
    <cellStyle name="Normal 2 54" xfId="1658"/>
    <cellStyle name="Normal 2 55" xfId="1707"/>
    <cellStyle name="Normal 2 56" xfId="1756"/>
    <cellStyle name="Normal 2 57" xfId="1805"/>
    <cellStyle name="Normal 2 58" xfId="1854"/>
    <cellStyle name="Normal 2 59" xfId="1903"/>
    <cellStyle name="Normal 2 6" xfId="251"/>
    <cellStyle name="Normal 2 60" xfId="1952"/>
    <cellStyle name="Normal 2 61" xfId="2001"/>
    <cellStyle name="Normal 2 62" xfId="2050"/>
    <cellStyle name="Normal 2 63" xfId="2099"/>
    <cellStyle name="Normal 2 64" xfId="2147"/>
    <cellStyle name="Normal 2 65" xfId="2193"/>
    <cellStyle name="Normal 2 66" xfId="2239"/>
    <cellStyle name="Normal 2 67" xfId="2285"/>
    <cellStyle name="Normal 2 68" xfId="2331"/>
    <cellStyle name="Normal 2 69" xfId="2377"/>
    <cellStyle name="Normal 2 7" xfId="295"/>
    <cellStyle name="Normal 2 70" xfId="2423"/>
    <cellStyle name="Normal 2 71" xfId="2469"/>
    <cellStyle name="Normal 2 72" xfId="2515"/>
    <cellStyle name="Normal 2 73" xfId="2559"/>
    <cellStyle name="Normal 2 74" xfId="2603"/>
    <cellStyle name="Normal 2 75" xfId="3635"/>
    <cellStyle name="Normal 2 76" xfId="3832"/>
    <cellStyle name="Normal 2 77" xfId="3742"/>
    <cellStyle name="Normal 2 78" xfId="3800"/>
    <cellStyle name="Normal 2 79" xfId="3845"/>
    <cellStyle name="Normal 2 8" xfId="339"/>
    <cellStyle name="Normal 2 80" xfId="3656"/>
    <cellStyle name="Normal 2 81" xfId="3948"/>
    <cellStyle name="Normal 2 82" xfId="3997"/>
    <cellStyle name="Normal 2 83" xfId="3934"/>
    <cellStyle name="Normal 2 9" xfId="383"/>
    <cellStyle name="Normal 2_2REGBTB-CHF" xfId="757"/>
    <cellStyle name="Normal 3" xfId="29"/>
    <cellStyle name="Normal 3 10" xfId="428"/>
    <cellStyle name="Normal 3 11" xfId="471"/>
    <cellStyle name="Normal 3 12" xfId="515"/>
    <cellStyle name="Normal 3 13" xfId="562"/>
    <cellStyle name="Normal 3 14" xfId="606"/>
    <cellStyle name="Normal 3 15" xfId="649"/>
    <cellStyle name="Normal 3 16" xfId="691"/>
    <cellStyle name="Normal 3 17" xfId="735"/>
    <cellStyle name="Normal 3 18" xfId="792"/>
    <cellStyle name="Normal 3 19" xfId="870"/>
    <cellStyle name="Normal 3 2" xfId="76"/>
    <cellStyle name="Normal 3 20" xfId="879"/>
    <cellStyle name="Normal 3 21" xfId="936"/>
    <cellStyle name="Normal 3 22" xfId="1506"/>
    <cellStyle name="Normal 3 23" xfId="1512"/>
    <cellStyle name="Normal 3 24" xfId="1281"/>
    <cellStyle name="Normal 3 25" xfId="1605"/>
    <cellStyle name="Normal 3 26" xfId="1654"/>
    <cellStyle name="Normal 3 27" xfId="1703"/>
    <cellStyle name="Normal 3 28" xfId="1752"/>
    <cellStyle name="Normal 3 29" xfId="1801"/>
    <cellStyle name="Normal 3 3" xfId="120"/>
    <cellStyle name="Normal 3 30" xfId="1850"/>
    <cellStyle name="Normal 3 31" xfId="1899"/>
    <cellStyle name="Normal 3 32" xfId="1948"/>
    <cellStyle name="Normal 3 33" xfId="1997"/>
    <cellStyle name="Normal 3 34" xfId="2046"/>
    <cellStyle name="Normal 3 35" xfId="2095"/>
    <cellStyle name="Normal 3 36" xfId="2143"/>
    <cellStyle name="Normal 3 37" xfId="2189"/>
    <cellStyle name="Normal 3 38" xfId="2235"/>
    <cellStyle name="Normal 3 39" xfId="2281"/>
    <cellStyle name="Normal 3 4" xfId="164"/>
    <cellStyle name="Normal 3 40" xfId="2327"/>
    <cellStyle name="Normal 3 41" xfId="2373"/>
    <cellStyle name="Normal 3 42" xfId="2419"/>
    <cellStyle name="Normal 3 43" xfId="2465"/>
    <cellStyle name="Normal 3 44" xfId="2511"/>
    <cellStyle name="Normal 3 45" xfId="2555"/>
    <cellStyle name="Normal 3 46" xfId="2599"/>
    <cellStyle name="Normal 3 47" xfId="2643"/>
    <cellStyle name="Normal 3 48" xfId="2686"/>
    <cellStyle name="Normal 3 49" xfId="2729"/>
    <cellStyle name="Normal 3 5" xfId="208"/>
    <cellStyle name="Normal 3 50" xfId="2772"/>
    <cellStyle name="Normal 3 51" xfId="2814"/>
    <cellStyle name="Normal 3 52" xfId="2855"/>
    <cellStyle name="Normal 3 53" xfId="2896"/>
    <cellStyle name="Normal 3 54" xfId="2936"/>
    <cellStyle name="Normal 3 55" xfId="2976"/>
    <cellStyle name="Normal 3 56" xfId="3016"/>
    <cellStyle name="Normal 3 57" xfId="3055"/>
    <cellStyle name="Normal 3 58" xfId="3093"/>
    <cellStyle name="Normal 3 59" xfId="3131"/>
    <cellStyle name="Normal 3 6" xfId="252"/>
    <cellStyle name="Normal 3 60" xfId="3168"/>
    <cellStyle name="Normal 3 61" xfId="3204"/>
    <cellStyle name="Normal 3 62" xfId="3240"/>
    <cellStyle name="Normal 3 63" xfId="3275"/>
    <cellStyle name="Normal 3 64" xfId="3310"/>
    <cellStyle name="Normal 3 65" xfId="3345"/>
    <cellStyle name="Normal 3 66" xfId="3376"/>
    <cellStyle name="Normal 3 67" xfId="3406"/>
    <cellStyle name="Normal 3 68" xfId="3434"/>
    <cellStyle name="Normal 3 69" xfId="3460"/>
    <cellStyle name="Normal 3 7" xfId="296"/>
    <cellStyle name="Normal 3 70" xfId="3486"/>
    <cellStyle name="Normal 3 71" xfId="3510"/>
    <cellStyle name="Normal 3 72" xfId="3532"/>
    <cellStyle name="Normal 3 73" xfId="3549"/>
    <cellStyle name="Normal 3 74" xfId="3565"/>
    <cellStyle name="Normal 3 75" xfId="3636"/>
    <cellStyle name="Normal 3 76" xfId="3805"/>
    <cellStyle name="Normal 3 77" xfId="4126"/>
    <cellStyle name="Normal 3 78" xfId="3893"/>
    <cellStyle name="Normal 3 79" xfId="3737"/>
    <cellStyle name="Normal 3 8" xfId="340"/>
    <cellStyle name="Normal 3 80" xfId="3925"/>
    <cellStyle name="Normal 3 81" xfId="3998"/>
    <cellStyle name="Normal 3 82" xfId="3873"/>
    <cellStyle name="Normal 3 83" xfId="4054"/>
    <cellStyle name="Normal 3 9" xfId="384"/>
    <cellStyle name="Normal 3_Contrôle" xfId="4002"/>
    <cellStyle name="Normal 4" xfId="30"/>
    <cellStyle name="Normal 4 10" xfId="429"/>
    <cellStyle name="Normal 4 11" xfId="472"/>
    <cellStyle name="Normal 4 12" xfId="516"/>
    <cellStyle name="Normal 4 13" xfId="563"/>
    <cellStyle name="Normal 4 14" xfId="607"/>
    <cellStyle name="Normal 4 15" xfId="650"/>
    <cellStyle name="Normal 4 16" xfId="692"/>
    <cellStyle name="Normal 4 17" xfId="736"/>
    <cellStyle name="Normal 4 18" xfId="793"/>
    <cellStyle name="Normal 4 19" xfId="865"/>
    <cellStyle name="Normal 4 2" xfId="77"/>
    <cellStyle name="Normal 4 20" xfId="846"/>
    <cellStyle name="Normal 4 21" xfId="937"/>
    <cellStyle name="Normal 4 22" xfId="1468"/>
    <cellStyle name="Normal 4 23" xfId="1243"/>
    <cellStyle name="Normal 4 24" xfId="1221"/>
    <cellStyle name="Normal 4 25" xfId="981"/>
    <cellStyle name="Normal 4 26" xfId="1068"/>
    <cellStyle name="Normal 4 27" xfId="1151"/>
    <cellStyle name="Normal 4 28" xfId="1187"/>
    <cellStyle name="Normal 4 29" xfId="1611"/>
    <cellStyle name="Normal 4 3" xfId="121"/>
    <cellStyle name="Normal 4 30" xfId="1660"/>
    <cellStyle name="Normal 4 31" xfId="1709"/>
    <cellStyle name="Normal 4 32" xfId="1758"/>
    <cellStyle name="Normal 4 33" xfId="1807"/>
    <cellStyle name="Normal 4 34" xfId="1856"/>
    <cellStyle name="Normal 4 35" xfId="1905"/>
    <cellStyle name="Normal 4 36" xfId="1954"/>
    <cellStyle name="Normal 4 37" xfId="2003"/>
    <cellStyle name="Normal 4 38" xfId="2052"/>
    <cellStyle name="Normal 4 39" xfId="2101"/>
    <cellStyle name="Normal 4 4" xfId="165"/>
    <cellStyle name="Normal 4 40" xfId="2149"/>
    <cellStyle name="Normal 4 41" xfId="2195"/>
    <cellStyle name="Normal 4 42" xfId="2241"/>
    <cellStyle name="Normal 4 43" xfId="2287"/>
    <cellStyle name="Normal 4 44" xfId="2333"/>
    <cellStyle name="Normal 4 45" xfId="2379"/>
    <cellStyle name="Normal 4 46" xfId="2425"/>
    <cellStyle name="Normal 4 47" xfId="2471"/>
    <cellStyle name="Normal 4 48" xfId="2517"/>
    <cellStyle name="Normal 4 49" xfId="2561"/>
    <cellStyle name="Normal 4 5" xfId="209"/>
    <cellStyle name="Normal 4 50" xfId="2605"/>
    <cellStyle name="Normal 4 51" xfId="2648"/>
    <cellStyle name="Normal 4 52" xfId="2691"/>
    <cellStyle name="Normal 4 53" xfId="2734"/>
    <cellStyle name="Normal 4 54" xfId="2777"/>
    <cellStyle name="Normal 4 55" xfId="2819"/>
    <cellStyle name="Normal 4 56" xfId="2860"/>
    <cellStyle name="Normal 4 57" xfId="2901"/>
    <cellStyle name="Normal 4 58" xfId="2941"/>
    <cellStyle name="Normal 4 59" xfId="2981"/>
    <cellStyle name="Normal 4 6" xfId="253"/>
    <cellStyle name="Normal 4 60" xfId="3021"/>
    <cellStyle name="Normal 4 61" xfId="3060"/>
    <cellStyle name="Normal 4 62" xfId="3098"/>
    <cellStyle name="Normal 4 63" xfId="3136"/>
    <cellStyle name="Normal 4 64" xfId="3173"/>
    <cellStyle name="Normal 4 65" xfId="3209"/>
    <cellStyle name="Normal 4 66" xfId="3245"/>
    <cellStyle name="Normal 4 67" xfId="3280"/>
    <cellStyle name="Normal 4 68" xfId="3315"/>
    <cellStyle name="Normal 4 69" xfId="3349"/>
    <cellStyle name="Normal 4 7" xfId="297"/>
    <cellStyle name="Normal 4 70" xfId="3380"/>
    <cellStyle name="Normal 4 71" xfId="3410"/>
    <cellStyle name="Normal 4 72" xfId="3438"/>
    <cellStyle name="Normal 4 73" xfId="3464"/>
    <cellStyle name="Normal 4 74" xfId="3490"/>
    <cellStyle name="Normal 4 75" xfId="3637"/>
    <cellStyle name="Normal 4 76" xfId="3786"/>
    <cellStyle name="Normal 4 77" xfId="4029"/>
    <cellStyle name="Normal 4 78" xfId="3896"/>
    <cellStyle name="Normal 4 79" xfId="4214"/>
    <cellStyle name="Normal 4 8" xfId="341"/>
    <cellStyle name="Normal 4 80" xfId="4206"/>
    <cellStyle name="Normal 4 81" xfId="4016"/>
    <cellStyle name="Normal 4 82" xfId="3872"/>
    <cellStyle name="Normal 4 83" xfId="4039"/>
    <cellStyle name="Normal 4 9" xfId="385"/>
    <cellStyle name="Normal 4_Contrôle" xfId="4004"/>
    <cellStyle name="Normal 5" xfId="47"/>
    <cellStyle name="Normal 5 2" xfId="758"/>
    <cellStyle name="Normal 5 2 10" xfId="1259"/>
    <cellStyle name="Normal 5 2 10 10" xfId="4441"/>
    <cellStyle name="Normal 5 2 10 2" xfId="4265"/>
    <cellStyle name="Normal 5 2 10 3" xfId="4304"/>
    <cellStyle name="Normal 5 2 10 4" xfId="4337"/>
    <cellStyle name="Normal 5 2 10 5" xfId="4365"/>
    <cellStyle name="Normal 5 2 10 6" xfId="4392"/>
    <cellStyle name="Normal 5 2 10 7" xfId="4413"/>
    <cellStyle name="Normal 5 2 10 8" xfId="4429"/>
    <cellStyle name="Normal 5 2 10 9" xfId="4437"/>
    <cellStyle name="Normal 5 2 11" xfId="1220"/>
    <cellStyle name="Normal 5 2 12" xfId="1030"/>
    <cellStyle name="Normal 5 2 13" xfId="1462"/>
    <cellStyle name="Normal 5 2 14" xfId="1436"/>
    <cellStyle name="Normal 5 2 15" xfId="1478"/>
    <cellStyle name="Normal 5 2 16" xfId="1435"/>
    <cellStyle name="Normal 5 2 17" xfId="1517"/>
    <cellStyle name="Normal 5 2 18" xfId="1085"/>
    <cellStyle name="Normal 5 2 19" xfId="997"/>
    <cellStyle name="Normal 5 2 2" xfId="810"/>
    <cellStyle name="Normal 5 2 2 10" xfId="2021"/>
    <cellStyle name="Normal 5 2 2 11" xfId="2070"/>
    <cellStyle name="Normal 5 2 2 12" xfId="2119"/>
    <cellStyle name="Normal 5 2 2 13" xfId="2166"/>
    <cellStyle name="Normal 5 2 2 14" xfId="2212"/>
    <cellStyle name="Normal 5 2 2 15" xfId="2258"/>
    <cellStyle name="Normal 5 2 2 16" xfId="2304"/>
    <cellStyle name="Normal 5 2 2 17" xfId="2350"/>
    <cellStyle name="Normal 5 2 2 18" xfId="2396"/>
    <cellStyle name="Normal 5 2 2 19" xfId="2442"/>
    <cellStyle name="Normal 5 2 2 2" xfId="1629"/>
    <cellStyle name="Normal 5 2 2 2 10" xfId="4192"/>
    <cellStyle name="Normal 5 2 2 2 2" xfId="4102"/>
    <cellStyle name="Normal 5 2 2 2 3" xfId="3655"/>
    <cellStyle name="Normal 5 2 2 2 4" xfId="4129"/>
    <cellStyle name="Normal 5 2 2 2 5" xfId="3789"/>
    <cellStyle name="Normal 5 2 2 2 6" xfId="4252"/>
    <cellStyle name="Normal 5 2 2 2 7" xfId="3883"/>
    <cellStyle name="Normal 5 2 2 2 8" xfId="3842"/>
    <cellStyle name="Normal 5 2 2 2 9" xfId="3777"/>
    <cellStyle name="Normal 5 2 2 20" xfId="2488"/>
    <cellStyle name="Normal 5 2 2 21" xfId="2533"/>
    <cellStyle name="Normal 5 2 2 22" xfId="2577"/>
    <cellStyle name="Normal 5 2 2 23" xfId="2621"/>
    <cellStyle name="Normal 5 2 2 24" xfId="2664"/>
    <cellStyle name="Normal 5 2 2 25" xfId="2707"/>
    <cellStyle name="Normal 5 2 2 26" xfId="2750"/>
    <cellStyle name="Normal 5 2 2 27" xfId="2792"/>
    <cellStyle name="Normal 5 2 2 28" xfId="2833"/>
    <cellStyle name="Normal 5 2 2 29" xfId="2874"/>
    <cellStyle name="Normal 5 2 2 3" xfId="1678"/>
    <cellStyle name="Normal 5 2 2 3 10" xfId="4321"/>
    <cellStyle name="Normal 5 2 2 3 2" xfId="4107"/>
    <cellStyle name="Normal 5 2 2 3 3" xfId="4137"/>
    <cellStyle name="Normal 5 2 2 3 4" xfId="3905"/>
    <cellStyle name="Normal 5 2 2 3 5" xfId="4253"/>
    <cellStyle name="Normal 5 2 2 3 6" xfId="3906"/>
    <cellStyle name="Normal 5 2 2 3 7" xfId="4233"/>
    <cellStyle name="Normal 5 2 2 3 8" xfId="4248"/>
    <cellStyle name="Normal 5 2 2 3 9" xfId="4285"/>
    <cellStyle name="Normal 5 2 2 30" xfId="2915"/>
    <cellStyle name="Normal 5 2 2 31" xfId="2955"/>
    <cellStyle name="Normal 5 2 2 32" xfId="2995"/>
    <cellStyle name="Normal 5 2 2 33" xfId="3034"/>
    <cellStyle name="Normal 5 2 2 34" xfId="3072"/>
    <cellStyle name="Normal 5 2 2 35" xfId="3110"/>
    <cellStyle name="Normal 5 2 2 36" xfId="3147"/>
    <cellStyle name="Normal 5 2 2 37" xfId="3183"/>
    <cellStyle name="Normal 5 2 2 38" xfId="3219"/>
    <cellStyle name="Normal 5 2 2 39" xfId="3255"/>
    <cellStyle name="Normal 5 2 2 4" xfId="1727"/>
    <cellStyle name="Normal 5 2 2 4 10" xfId="3999"/>
    <cellStyle name="Normal 5 2 2 4 2" xfId="4111"/>
    <cellStyle name="Normal 5 2 2 4 3" xfId="4093"/>
    <cellStyle name="Normal 5 2 2 4 4" xfId="3657"/>
    <cellStyle name="Normal 5 2 2 4 5" xfId="4259"/>
    <cellStyle name="Normal 5 2 2 4 6" xfId="4067"/>
    <cellStyle name="Normal 5 2 2 4 7" xfId="3710"/>
    <cellStyle name="Normal 5 2 2 4 8" xfId="4208"/>
    <cellStyle name="Normal 5 2 2 4 9" xfId="3807"/>
    <cellStyle name="Normal 5 2 2 40" xfId="3290"/>
    <cellStyle name="Normal 5 2 2 41" xfId="3325"/>
    <cellStyle name="Normal 5 2 2 42" xfId="3357"/>
    <cellStyle name="Normal 5 2 2 43" xfId="3388"/>
    <cellStyle name="Normal 5 2 2 44" xfId="3417"/>
    <cellStyle name="Normal 5 2 2 45" xfId="3445"/>
    <cellStyle name="Normal 5 2 2 46" xfId="3471"/>
    <cellStyle name="Normal 5 2 2 47" xfId="3497"/>
    <cellStyle name="Normal 5 2 2 48" xfId="3520"/>
    <cellStyle name="Normal 5 2 2 49" xfId="3542"/>
    <cellStyle name="Normal 5 2 2 5" xfId="1776"/>
    <cellStyle name="Normal 5 2 2 5 10" xfId="4293"/>
    <cellStyle name="Normal 5 2 2 5 2" xfId="4115"/>
    <cellStyle name="Normal 5 2 2 5 3" xfId="3971"/>
    <cellStyle name="Normal 5 2 2 5 4" xfId="4254"/>
    <cellStyle name="Normal 5 2 2 5 5" xfId="4130"/>
    <cellStyle name="Normal 5 2 2 5 6" xfId="3730"/>
    <cellStyle name="Normal 5 2 2 5 7" xfId="4127"/>
    <cellStyle name="Normal 5 2 2 5 8" xfId="3871"/>
    <cellStyle name="Normal 5 2 2 5 9" xfId="4053"/>
    <cellStyle name="Normal 5 2 2 50" xfId="3558"/>
    <cellStyle name="Normal 5 2 2 51" xfId="3573"/>
    <cellStyle name="Normal 5 2 2 52" xfId="3584"/>
    <cellStyle name="Normal 5 2 2 53" xfId="3593"/>
    <cellStyle name="Normal 5 2 2 54" xfId="3601"/>
    <cellStyle name="Normal 5 2 2 55" xfId="3605"/>
    <cellStyle name="Normal 5 2 2 56" xfId="3985"/>
    <cellStyle name="Normal 5 2 2 57" xfId="3919"/>
    <cellStyle name="Normal 5 2 2 58" xfId="4223"/>
    <cellStyle name="Normal 5 2 2 59" xfId="4096"/>
    <cellStyle name="Normal 5 2 2 6" xfId="1825"/>
    <cellStyle name="Normal 5 2 2 6 10" xfId="4257"/>
    <cellStyle name="Normal 5 2 2 6 2" xfId="4173"/>
    <cellStyle name="Normal 5 2 2 6 3" xfId="3808"/>
    <cellStyle name="Normal 5 2 2 6 4" xfId="3941"/>
    <cellStyle name="Normal 5 2 2 6 5" xfId="4014"/>
    <cellStyle name="Normal 5 2 2 6 6" xfId="3662"/>
    <cellStyle name="Normal 5 2 2 6 7" xfId="4018"/>
    <cellStyle name="Normal 5 2 2 6 8" xfId="3837"/>
    <cellStyle name="Normal 5 2 2 6 9" xfId="4124"/>
    <cellStyle name="Normal 5 2 2 60" xfId="3894"/>
    <cellStyle name="Normal 5 2 2 61" xfId="3692"/>
    <cellStyle name="Normal 5 2 2 62" xfId="4177"/>
    <cellStyle name="Normal 5 2 2 63" xfId="4163"/>
    <cellStyle name="Normal 5 2 2 64" xfId="4262"/>
    <cellStyle name="Normal 5 2 2 7" xfId="1874"/>
    <cellStyle name="Normal 5 2 2 7 10" xfId="4101"/>
    <cellStyle name="Normal 5 2 2 7 2" xfId="4157"/>
    <cellStyle name="Normal 5 2 2 7 3" xfId="3870"/>
    <cellStyle name="Normal 5 2 2 7 4" xfId="4195"/>
    <cellStyle name="Normal 5 2 2 7 5" xfId="3659"/>
    <cellStyle name="Normal 5 2 2 7 6" xfId="3707"/>
    <cellStyle name="Normal 5 2 2 7 7" xfId="4179"/>
    <cellStyle name="Normal 5 2 2 7 8" xfId="4241"/>
    <cellStyle name="Normal 5 2 2 7 9" xfId="3680"/>
    <cellStyle name="Normal 5 2 2 8" xfId="1923"/>
    <cellStyle name="Normal 5 2 2 8 10" xfId="4439"/>
    <cellStyle name="Normal 5 2 2 8 2" xfId="4261"/>
    <cellStyle name="Normal 5 2 2 8 3" xfId="4300"/>
    <cellStyle name="Normal 5 2 2 8 4" xfId="4334"/>
    <cellStyle name="Normal 5 2 2 8 5" xfId="4362"/>
    <cellStyle name="Normal 5 2 2 8 6" xfId="4389"/>
    <cellStyle name="Normal 5 2 2 8 7" xfId="4410"/>
    <cellStyle name="Normal 5 2 2 8 8" xfId="4426"/>
    <cellStyle name="Normal 5 2 2 8 9" xfId="4434"/>
    <cellStyle name="Normal 5 2 2 9" xfId="1972"/>
    <cellStyle name="Normal 5 2 20" xfId="1622"/>
    <cellStyle name="Normal 5 2 21" xfId="1671"/>
    <cellStyle name="Normal 5 2 22" xfId="1720"/>
    <cellStyle name="Normal 5 2 23" xfId="1769"/>
    <cellStyle name="Normal 5 2 24" xfId="1818"/>
    <cellStyle name="Normal 5 2 25" xfId="1867"/>
    <cellStyle name="Normal 5 2 26" xfId="1916"/>
    <cellStyle name="Normal 5 2 27" xfId="1965"/>
    <cellStyle name="Normal 5 2 28" xfId="2014"/>
    <cellStyle name="Normal 5 2 29" xfId="2063"/>
    <cellStyle name="Normal 5 2 3" xfId="900"/>
    <cellStyle name="Normal 5 2 3 10" xfId="2028"/>
    <cellStyle name="Normal 5 2 3 11" xfId="2077"/>
    <cellStyle name="Normal 5 2 3 12" xfId="2126"/>
    <cellStyle name="Normal 5 2 3 13" xfId="2173"/>
    <cellStyle name="Normal 5 2 3 14" xfId="2219"/>
    <cellStyle name="Normal 5 2 3 15" xfId="2265"/>
    <cellStyle name="Normal 5 2 3 16" xfId="2311"/>
    <cellStyle name="Normal 5 2 3 17" xfId="2357"/>
    <cellStyle name="Normal 5 2 3 18" xfId="2403"/>
    <cellStyle name="Normal 5 2 3 19" xfId="2449"/>
    <cellStyle name="Normal 5 2 3 2" xfId="1636"/>
    <cellStyle name="Normal 5 2 3 2 10" xfId="4415"/>
    <cellStyle name="Normal 5 2 3 2 2" xfId="4104"/>
    <cellStyle name="Normal 5 2 3 2 3" xfId="3790"/>
    <cellStyle name="Normal 5 2 3 2 4" xfId="4228"/>
    <cellStyle name="Normal 5 2 3 2 5" xfId="4269"/>
    <cellStyle name="Normal 5 2 3 2 6" xfId="4307"/>
    <cellStyle name="Normal 5 2 3 2 7" xfId="4340"/>
    <cellStyle name="Normal 5 2 3 2 8" xfId="4368"/>
    <cellStyle name="Normal 5 2 3 2 9" xfId="4395"/>
    <cellStyle name="Normal 5 2 3 20" xfId="2495"/>
    <cellStyle name="Normal 5 2 3 21" xfId="2540"/>
    <cellStyle name="Normal 5 2 3 22" xfId="2584"/>
    <cellStyle name="Normal 5 2 3 23" xfId="2628"/>
    <cellStyle name="Normal 5 2 3 24" xfId="2671"/>
    <cellStyle name="Normal 5 2 3 25" xfId="2714"/>
    <cellStyle name="Normal 5 2 3 26" xfId="2757"/>
    <cellStyle name="Normal 5 2 3 27" xfId="2799"/>
    <cellStyle name="Normal 5 2 3 28" xfId="2840"/>
    <cellStyle name="Normal 5 2 3 29" xfId="2881"/>
    <cellStyle name="Normal 5 2 3 3" xfId="1685"/>
    <cellStyle name="Normal 5 2 3 3 10" xfId="4398"/>
    <cellStyle name="Normal 5 2 3 3 2" xfId="4109"/>
    <cellStyle name="Normal 5 2 3 3 3" xfId="4239"/>
    <cellStyle name="Normal 5 2 3 3 4" xfId="3946"/>
    <cellStyle name="Normal 5 2 3 3 5" xfId="4079"/>
    <cellStyle name="Normal 5 2 3 3 6" xfId="4277"/>
    <cellStyle name="Normal 5 2 3 3 7" xfId="4314"/>
    <cellStyle name="Normal 5 2 3 3 8" xfId="4345"/>
    <cellStyle name="Normal 5 2 3 3 9" xfId="4372"/>
    <cellStyle name="Normal 5 2 3 30" xfId="2922"/>
    <cellStyle name="Normal 5 2 3 31" xfId="2962"/>
    <cellStyle name="Normal 5 2 3 32" xfId="3002"/>
    <cellStyle name="Normal 5 2 3 33" xfId="3041"/>
    <cellStyle name="Normal 5 2 3 34" xfId="3079"/>
    <cellStyle name="Normal 5 2 3 35" xfId="3117"/>
    <cellStyle name="Normal 5 2 3 36" xfId="3154"/>
    <cellStyle name="Normal 5 2 3 37" xfId="3190"/>
    <cellStyle name="Normal 5 2 3 38" xfId="3226"/>
    <cellStyle name="Normal 5 2 3 39" xfId="3262"/>
    <cellStyle name="Normal 5 2 3 4" xfId="1734"/>
    <cellStyle name="Normal 5 2 3 4 10" xfId="4374"/>
    <cellStyle name="Normal 5 2 3 4 2" xfId="4113"/>
    <cellStyle name="Normal 5 2 3 4 3" xfId="4021"/>
    <cellStyle name="Normal 5 2 3 4 4" xfId="3731"/>
    <cellStyle name="Normal 5 2 3 4 5" xfId="4091"/>
    <cellStyle name="Normal 5 2 3 4 6" xfId="4060"/>
    <cellStyle name="Normal 5 2 3 4 7" xfId="4279"/>
    <cellStyle name="Normal 5 2 3 4 8" xfId="4316"/>
    <cellStyle name="Normal 5 2 3 4 9" xfId="4347"/>
    <cellStyle name="Normal 5 2 3 40" xfId="3297"/>
    <cellStyle name="Normal 5 2 3 41" xfId="3332"/>
    <cellStyle name="Normal 5 2 3 42" xfId="3364"/>
    <cellStyle name="Normal 5 2 3 43" xfId="3395"/>
    <cellStyle name="Normal 5 2 3 44" xfId="3423"/>
    <cellStyle name="Normal 5 2 3 45" xfId="3450"/>
    <cellStyle name="Normal 5 2 3 46" xfId="3476"/>
    <cellStyle name="Normal 5 2 3 47" xfId="3501"/>
    <cellStyle name="Normal 5 2 3 48" xfId="3524"/>
    <cellStyle name="Normal 5 2 3 49" xfId="3545"/>
    <cellStyle name="Normal 5 2 3 5" xfId="1783"/>
    <cellStyle name="Normal 5 2 3 5 10" xfId="4143"/>
    <cellStyle name="Normal 5 2 3 5 2" xfId="4117"/>
    <cellStyle name="Normal 5 2 3 5 3" xfId="3933"/>
    <cellStyle name="Normal 5 2 3 5 4" xfId="3703"/>
    <cellStyle name="Normal 5 2 3 5 5" xfId="4164"/>
    <cellStyle name="Normal 5 2 3 5 6" xfId="3686"/>
    <cellStyle name="Normal 5 2 3 5 7" xfId="3903"/>
    <cellStyle name="Normal 5 2 3 5 8" xfId="3697"/>
    <cellStyle name="Normal 5 2 3 5 9" xfId="4087"/>
    <cellStyle name="Normal 5 2 3 50" xfId="3561"/>
    <cellStyle name="Normal 5 2 3 51" xfId="3575"/>
    <cellStyle name="Normal 5 2 3 52" xfId="3586"/>
    <cellStyle name="Normal 5 2 3 53" xfId="3595"/>
    <cellStyle name="Normal 5 2 3 54" xfId="3603"/>
    <cellStyle name="Normal 5 2 3 55" xfId="3607"/>
    <cellStyle name="Normal 5 2 3 56" xfId="4006"/>
    <cellStyle name="Normal 5 2 3 57" xfId="3817"/>
    <cellStyle name="Normal 5 2 3 58" xfId="3696"/>
    <cellStyle name="Normal 5 2 3 59" xfId="4049"/>
    <cellStyle name="Normal 5 2 3 6" xfId="1832"/>
    <cellStyle name="Normal 5 2 3 6 10" xfId="3811"/>
    <cellStyle name="Normal 5 2 3 6 2" xfId="4175"/>
    <cellStyle name="Normal 5 2 3 6 3" xfId="3749"/>
    <cellStyle name="Normal 5 2 3 6 4" xfId="4183"/>
    <cellStyle name="Normal 5 2 3 6 5" xfId="3849"/>
    <cellStyle name="Normal 5 2 3 6 6" xfId="3676"/>
    <cellStyle name="Normal 5 2 3 6 7" xfId="3702"/>
    <cellStyle name="Normal 5 2 3 6 8" xfId="4171"/>
    <cellStyle name="Normal 5 2 3 6 9" xfId="4019"/>
    <cellStyle name="Normal 5 2 3 60" xfId="4235"/>
    <cellStyle name="Normal 5 2 3 61" xfId="3867"/>
    <cellStyle name="Normal 5 2 3 62" xfId="4070"/>
    <cellStyle name="Normal 5 2 3 63" xfId="4289"/>
    <cellStyle name="Normal 5 2 3 64" xfId="4325"/>
    <cellStyle name="Normal 5 2 3 7" xfId="1881"/>
    <cellStyle name="Normal 5 2 3 7 10" xfId="4246"/>
    <cellStyle name="Normal 5 2 3 7 2" xfId="4144"/>
    <cellStyle name="Normal 5 2 3 7 3" xfId="3810"/>
    <cellStyle name="Normal 5 2 3 7 4" xfId="3900"/>
    <cellStyle name="Normal 5 2 3 7 5" xfId="3974"/>
    <cellStyle name="Normal 5 2 3 7 6" xfId="3916"/>
    <cellStyle name="Normal 5 2 3 7 7" xfId="3774"/>
    <cellStyle name="Normal 5 2 3 7 8" xfId="3671"/>
    <cellStyle name="Normal 5 2 3 7 9" xfId="3678"/>
    <cellStyle name="Normal 5 2 3 8" xfId="1930"/>
    <cellStyle name="Normal 5 2 3 8 10" xfId="3752"/>
    <cellStyle name="Normal 5 2 3 8 2" xfId="4185"/>
    <cellStyle name="Normal 5 2 3 8 3" xfId="3950"/>
    <cellStyle name="Normal 5 2 3 8 4" xfId="3875"/>
    <cellStyle name="Normal 5 2 3 8 5" xfId="3975"/>
    <cellStyle name="Normal 5 2 3 8 6" xfId="4033"/>
    <cellStyle name="Normal 5 2 3 8 7" xfId="3806"/>
    <cellStyle name="Normal 5 2 3 8 8" xfId="4025"/>
    <cellStyle name="Normal 5 2 3 8 9" xfId="3990"/>
    <cellStyle name="Normal 5 2 3 9" xfId="1979"/>
    <cellStyle name="Normal 5 2 30" xfId="2112"/>
    <cellStyle name="Normal 5 2 31" xfId="2159"/>
    <cellStyle name="Normal 5 2 32" xfId="2205"/>
    <cellStyle name="Normal 5 2 33" xfId="2251"/>
    <cellStyle name="Normal 5 2 34" xfId="2297"/>
    <cellStyle name="Normal 5 2 35" xfId="2343"/>
    <cellStyle name="Normal 5 2 36" xfId="2389"/>
    <cellStyle name="Normal 5 2 37" xfId="2435"/>
    <cellStyle name="Normal 5 2 38" xfId="2481"/>
    <cellStyle name="Normal 5 2 39" xfId="2526"/>
    <cellStyle name="Normal 5 2 4" xfId="843"/>
    <cellStyle name="Normal 5 2 4 10" xfId="3801"/>
    <cellStyle name="Normal 5 2 4 2" xfId="4036"/>
    <cellStyle name="Normal 5 2 4 3" xfId="4186"/>
    <cellStyle name="Normal 5 2 4 4" xfId="4119"/>
    <cellStyle name="Normal 5 2 4 5" xfId="4020"/>
    <cellStyle name="Normal 5 2 4 6" xfId="3771"/>
    <cellStyle name="Normal 5 2 4 7" xfId="3672"/>
    <cellStyle name="Normal 5 2 4 8" xfId="4051"/>
    <cellStyle name="Normal 5 2 4 9" xfId="4151"/>
    <cellStyle name="Normal 5 2 40" xfId="2570"/>
    <cellStyle name="Normal 5 2 41" xfId="2614"/>
    <cellStyle name="Normal 5 2 42" xfId="2657"/>
    <cellStyle name="Normal 5 2 43" xfId="2700"/>
    <cellStyle name="Normal 5 2 44" xfId="2743"/>
    <cellStyle name="Normal 5 2 45" xfId="2785"/>
    <cellStyle name="Normal 5 2 46" xfId="2826"/>
    <cellStyle name="Normal 5 2 47" xfId="2867"/>
    <cellStyle name="Normal 5 2 48" xfId="2908"/>
    <cellStyle name="Normal 5 2 49" xfId="2948"/>
    <cellStyle name="Normal 5 2 5" xfId="859"/>
    <cellStyle name="Normal 5 2 5 10" xfId="3708"/>
    <cellStyle name="Normal 5 2 5 2" xfId="4068"/>
    <cellStyle name="Normal 5 2 5 3" xfId="3690"/>
    <cellStyle name="Normal 5 2 5 4" xfId="3762"/>
    <cellStyle name="Normal 5 2 5 5" xfId="4012"/>
    <cellStyle name="Normal 5 2 5 6" xfId="4201"/>
    <cellStyle name="Normal 5 2 5 7" xfId="3802"/>
    <cellStyle name="Normal 5 2 5 8" xfId="4180"/>
    <cellStyle name="Normal 5 2 5 9" xfId="4198"/>
    <cellStyle name="Normal 5 2 50" xfId="2988"/>
    <cellStyle name="Normal 5 2 51" xfId="3028"/>
    <cellStyle name="Normal 5 2 52" xfId="3066"/>
    <cellStyle name="Normal 5 2 53" xfId="3104"/>
    <cellStyle name="Normal 5 2 54" xfId="3141"/>
    <cellStyle name="Normal 5 2 55" xfId="3177"/>
    <cellStyle name="Normal 5 2 56" xfId="3213"/>
    <cellStyle name="Normal 5 2 57" xfId="3249"/>
    <cellStyle name="Normal 5 2 58" xfId="3284"/>
    <cellStyle name="Normal 5 2 59" xfId="3319"/>
    <cellStyle name="Normal 5 2 6" xfId="989"/>
    <cellStyle name="Normal 5 2 6 10" xfId="3780"/>
    <cellStyle name="Normal 5 2 6 2" xfId="4074"/>
    <cellStyle name="Normal 5 2 6 3" xfId="3993"/>
    <cellStyle name="Normal 5 2 6 4" xfId="3838"/>
    <cellStyle name="Normal 5 2 6 5" xfId="4024"/>
    <cellStyle name="Normal 5 2 6 6" xfId="3660"/>
    <cellStyle name="Normal 5 2 6 7" xfId="3748"/>
    <cellStyle name="Normal 5 2 6 8" xfId="3943"/>
    <cellStyle name="Normal 5 2 6 9" xfId="3830"/>
    <cellStyle name="Normal 5 2 60" xfId="3673"/>
    <cellStyle name="Normal 5 2 61" xfId="3785"/>
    <cellStyle name="Normal 5 2 62" xfId="4069"/>
    <cellStyle name="Normal 5 2 63" xfId="4138"/>
    <cellStyle name="Normal 5 2 64" xfId="4099"/>
    <cellStyle name="Normal 5 2 65" xfId="3791"/>
    <cellStyle name="Normal 5 2 66" xfId="4062"/>
    <cellStyle name="Normal 5 2 67" xfId="4273"/>
    <cellStyle name="Normal 5 2 68" xfId="4311"/>
    <cellStyle name="Normal 5 2 7" xfId="1272"/>
    <cellStyle name="Normal 5 2 7 10" xfId="4407"/>
    <cellStyle name="Normal 5 2 7 2" xfId="4061"/>
    <cellStyle name="Normal 5 2 7 3" xfId="4238"/>
    <cellStyle name="Normal 5 2 7 4" xfId="4083"/>
    <cellStyle name="Normal 5 2 7 5" xfId="4073"/>
    <cellStyle name="Normal 5 2 7 6" xfId="4297"/>
    <cellStyle name="Normal 5 2 7 7" xfId="4331"/>
    <cellStyle name="Normal 5 2 7 8" xfId="4359"/>
    <cellStyle name="Normal 5 2 7 9" xfId="4386"/>
    <cellStyle name="Normal 5 2 8" xfId="1338"/>
    <cellStyle name="Normal 5 2 8 10" xfId="4435"/>
    <cellStyle name="Normal 5 2 8 2" xfId="4135"/>
    <cellStyle name="Normal 5 2 8 3" xfId="4196"/>
    <cellStyle name="Normal 5 2 8 4" xfId="4301"/>
    <cellStyle name="Normal 5 2 8 5" xfId="4335"/>
    <cellStyle name="Normal 5 2 8 6" xfId="4363"/>
    <cellStyle name="Normal 5 2 8 7" xfId="4390"/>
    <cellStyle name="Normal 5 2 8 8" xfId="4411"/>
    <cellStyle name="Normal 5 2 8 9" xfId="4427"/>
    <cellStyle name="Normal 5 2 9" xfId="1216"/>
    <cellStyle name="Normal 5 2 9 10" xfId="4065"/>
    <cellStyle name="Normal 5 2 9 2" xfId="4161"/>
    <cellStyle name="Normal 5 2 9 3" xfId="3788"/>
    <cellStyle name="Normal 5 2 9 4" xfId="4147"/>
    <cellStyle name="Normal 5 2 9 5" xfId="3825"/>
    <cellStyle name="Normal 5 2 9 6" xfId="3980"/>
    <cellStyle name="Normal 5 2 9 7" xfId="4159"/>
    <cellStyle name="Normal 5 2 9 8" xfId="3963"/>
    <cellStyle name="Normal 5 2 9 9" xfId="3898"/>
    <cellStyle name="Normal 5 2_Contrôle" xfId="4005"/>
    <cellStyle name="Normal 5 3" xfId="764"/>
    <cellStyle name="Normal 6" xfId="759"/>
    <cellStyle name="Normal 6 10" xfId="1086"/>
    <cellStyle name="Normal 6 10 10" xfId="4440"/>
    <cellStyle name="Normal 6 10 2" xfId="4264"/>
    <cellStyle name="Normal 6 10 3" xfId="4303"/>
    <cellStyle name="Normal 6 10 4" xfId="4336"/>
    <cellStyle name="Normal 6 10 5" xfId="4364"/>
    <cellStyle name="Normal 6 10 6" xfId="4391"/>
    <cellStyle name="Normal 6 10 7" xfId="4412"/>
    <cellStyle name="Normal 6 10 8" xfId="4428"/>
    <cellStyle name="Normal 6 10 9" xfId="4436"/>
    <cellStyle name="Normal 6 11" xfId="1633"/>
    <cellStyle name="Normal 6 12" xfId="1682"/>
    <cellStyle name="Normal 6 13" xfId="1731"/>
    <cellStyle name="Normal 6 14" xfId="1780"/>
    <cellStyle name="Normal 6 15" xfId="1829"/>
    <cellStyle name="Normal 6 16" xfId="1878"/>
    <cellStyle name="Normal 6 17" xfId="1927"/>
    <cellStyle name="Normal 6 18" xfId="1976"/>
    <cellStyle name="Normal 6 19" xfId="2025"/>
    <cellStyle name="Normal 6 2" xfId="811"/>
    <cellStyle name="Normal 6 2 10" xfId="2022"/>
    <cellStyle name="Normal 6 2 11" xfId="2071"/>
    <cellStyle name="Normal 6 2 12" xfId="2120"/>
    <cellStyle name="Normal 6 2 13" xfId="2167"/>
    <cellStyle name="Normal 6 2 14" xfId="2213"/>
    <cellStyle name="Normal 6 2 15" xfId="2259"/>
    <cellStyle name="Normal 6 2 16" xfId="2305"/>
    <cellStyle name="Normal 6 2 17" xfId="2351"/>
    <cellStyle name="Normal 6 2 18" xfId="2397"/>
    <cellStyle name="Normal 6 2 19" xfId="2443"/>
    <cellStyle name="Normal 6 2 2" xfId="1630"/>
    <cellStyle name="Normal 6 2 2 10" xfId="4296"/>
    <cellStyle name="Normal 6 2 2 2" xfId="4103"/>
    <cellStyle name="Normal 6 2 2 3" xfId="3812"/>
    <cellStyle name="Normal 6 2 2 4" xfId="3882"/>
    <cellStyle name="Normal 6 2 2 5" xfId="3862"/>
    <cellStyle name="Normal 6 2 2 6" xfId="4048"/>
    <cellStyle name="Normal 6 2 2 7" xfId="4199"/>
    <cellStyle name="Normal 6 2 2 8" xfId="3989"/>
    <cellStyle name="Normal 6 2 2 9" xfId="4076"/>
    <cellStyle name="Normal 6 2 20" xfId="2489"/>
    <cellStyle name="Normal 6 2 21" xfId="2534"/>
    <cellStyle name="Normal 6 2 22" xfId="2578"/>
    <cellStyle name="Normal 6 2 23" xfId="2622"/>
    <cellStyle name="Normal 6 2 24" xfId="2665"/>
    <cellStyle name="Normal 6 2 25" xfId="2708"/>
    <cellStyle name="Normal 6 2 26" xfId="2751"/>
    <cellStyle name="Normal 6 2 27" xfId="2793"/>
    <cellStyle name="Normal 6 2 28" xfId="2834"/>
    <cellStyle name="Normal 6 2 29" xfId="2875"/>
    <cellStyle name="Normal 6 2 3" xfId="1679"/>
    <cellStyle name="Normal 6 2 3 10" xfId="4421"/>
    <cellStyle name="Normal 6 2 3 2" xfId="4108"/>
    <cellStyle name="Normal 6 2 3 3" xfId="4255"/>
    <cellStyle name="Normal 6 2 3 4" xfId="4249"/>
    <cellStyle name="Normal 6 2 3 5" xfId="4286"/>
    <cellStyle name="Normal 6 2 3 6" xfId="4322"/>
    <cellStyle name="Normal 6 2 3 7" xfId="4352"/>
    <cellStyle name="Normal 6 2 3 8" xfId="4379"/>
    <cellStyle name="Normal 6 2 3 9" xfId="4403"/>
    <cellStyle name="Normal 6 2 30" xfId="2916"/>
    <cellStyle name="Normal 6 2 31" xfId="2956"/>
    <cellStyle name="Normal 6 2 32" xfId="2996"/>
    <cellStyle name="Normal 6 2 33" xfId="3035"/>
    <cellStyle name="Normal 6 2 34" xfId="3073"/>
    <cellStyle name="Normal 6 2 35" xfId="3111"/>
    <cellStyle name="Normal 6 2 36" xfId="3148"/>
    <cellStyle name="Normal 6 2 37" xfId="3184"/>
    <cellStyle name="Normal 6 2 38" xfId="3220"/>
    <cellStyle name="Normal 6 2 39" xfId="3256"/>
    <cellStyle name="Normal 6 2 4" xfId="1728"/>
    <cellStyle name="Normal 6 2 4 10" xfId="4106"/>
    <cellStyle name="Normal 6 2 4 2" xfId="4112"/>
    <cellStyle name="Normal 6 2 4 3" xfId="3661"/>
    <cellStyle name="Normal 6 2 4 4" xfId="3770"/>
    <cellStyle name="Normal 6 2 4 5" xfId="3741"/>
    <cellStyle name="Normal 6 2 4 6" xfId="3833"/>
    <cellStyle name="Normal 6 2 4 7" xfId="3719"/>
    <cellStyle name="Normal 6 2 4 8" xfId="4086"/>
    <cellStyle name="Normal 6 2 4 9" xfId="4139"/>
    <cellStyle name="Normal 6 2 40" xfId="3291"/>
    <cellStyle name="Normal 6 2 41" xfId="3326"/>
    <cellStyle name="Normal 6 2 42" xfId="3358"/>
    <cellStyle name="Normal 6 2 43" xfId="3389"/>
    <cellStyle name="Normal 6 2 44" xfId="3418"/>
    <cellStyle name="Normal 6 2 45" xfId="3446"/>
    <cellStyle name="Normal 6 2 46" xfId="3472"/>
    <cellStyle name="Normal 6 2 47" xfId="3498"/>
    <cellStyle name="Normal 6 2 48" xfId="3521"/>
    <cellStyle name="Normal 6 2 49" xfId="3543"/>
    <cellStyle name="Normal 6 2 5" xfId="1777"/>
    <cellStyle name="Normal 6 2 5 10" xfId="4383"/>
    <cellStyle name="Normal 6 2 5 2" xfId="4116"/>
    <cellStyle name="Normal 6 2 5 3" xfId="3952"/>
    <cellStyle name="Normal 6 2 5 4" xfId="3972"/>
    <cellStyle name="Normal 6 2 5 5" xfId="4178"/>
    <cellStyle name="Normal 6 2 5 6" xfId="4050"/>
    <cellStyle name="Normal 6 2 5 7" xfId="4291"/>
    <cellStyle name="Normal 6 2 5 8" xfId="4327"/>
    <cellStyle name="Normal 6 2 5 9" xfId="4356"/>
    <cellStyle name="Normal 6 2 50" xfId="3559"/>
    <cellStyle name="Normal 6 2 51" xfId="3574"/>
    <cellStyle name="Normal 6 2 52" xfId="3585"/>
    <cellStyle name="Normal 6 2 53" xfId="3594"/>
    <cellStyle name="Normal 6 2 54" xfId="3602"/>
    <cellStyle name="Normal 6 2 55" xfId="3606"/>
    <cellStyle name="Normal 6 2 56" xfId="3986"/>
    <cellStyle name="Normal 6 2 57" xfId="3897"/>
    <cellStyle name="Normal 6 2 58" xfId="4098"/>
    <cellStyle name="Normal 6 2 59" xfId="4294"/>
    <cellStyle name="Normal 6 2 6" xfId="1826"/>
    <cellStyle name="Normal 6 2 6 10" xfId="4373"/>
    <cellStyle name="Normal 6 2 6 2" xfId="4174"/>
    <cellStyle name="Normal 6 2 6 3" xfId="3787"/>
    <cellStyle name="Normal 6 2 6 4" xfId="3698"/>
    <cellStyle name="Normal 6 2 6 5" xfId="4072"/>
    <cellStyle name="Normal 6 2 6 6" xfId="4057"/>
    <cellStyle name="Normal 6 2 6 7" xfId="4278"/>
    <cellStyle name="Normal 6 2 6 8" xfId="4315"/>
    <cellStyle name="Normal 6 2 6 9" xfId="4346"/>
    <cellStyle name="Normal 6 2 60" xfId="4329"/>
    <cellStyle name="Normal 6 2 61" xfId="4357"/>
    <cellStyle name="Normal 6 2 62" xfId="4384"/>
    <cellStyle name="Normal 6 2 63" xfId="4405"/>
    <cellStyle name="Normal 6 2 64" xfId="4422"/>
    <cellStyle name="Normal 6 2 7" xfId="1875"/>
    <cellStyle name="Normal 6 2 7 10" xfId="3685"/>
    <cellStyle name="Normal 6 2 7 2" xfId="4153"/>
    <cellStyle name="Normal 6 2 7 3" xfId="4046"/>
    <cellStyle name="Normal 6 2 7 4" xfId="3969"/>
    <cellStyle name="Normal 6 2 7 5" xfId="4222"/>
    <cellStyle name="Normal 6 2 7 6" xfId="3851"/>
    <cellStyle name="Normal 6 2 7 7" xfId="3684"/>
    <cellStyle name="Normal 6 2 7 8" xfId="3744"/>
    <cellStyle name="Normal 6 2 7 9" xfId="4189"/>
    <cellStyle name="Normal 6 2 8" xfId="1924"/>
    <cellStyle name="Normal 6 2 8 10" xfId="4438"/>
    <cellStyle name="Normal 6 2 8 2" xfId="4260"/>
    <cellStyle name="Normal 6 2 8 3" xfId="4299"/>
    <cellStyle name="Normal 6 2 8 4" xfId="4333"/>
    <cellStyle name="Normal 6 2 8 5" xfId="4361"/>
    <cellStyle name="Normal 6 2 8 6" xfId="4388"/>
    <cellStyle name="Normal 6 2 8 7" xfId="4409"/>
    <cellStyle name="Normal 6 2 8 8" xfId="4425"/>
    <cellStyle name="Normal 6 2 8 9" xfId="4433"/>
    <cellStyle name="Normal 6 2 9" xfId="1973"/>
    <cellStyle name="Normal 6 20" xfId="2074"/>
    <cellStyle name="Normal 6 21" xfId="2123"/>
    <cellStyle name="Normal 6 22" xfId="2170"/>
    <cellStyle name="Normal 6 23" xfId="2216"/>
    <cellStyle name="Normal 6 24" xfId="2262"/>
    <cellStyle name="Normal 6 25" xfId="2308"/>
    <cellStyle name="Normal 6 26" xfId="2354"/>
    <cellStyle name="Normal 6 27" xfId="2400"/>
    <cellStyle name="Normal 6 28" xfId="2446"/>
    <cellStyle name="Normal 6 29" xfId="2492"/>
    <cellStyle name="Normal 6 3" xfId="901"/>
    <cellStyle name="Normal 6 3 10" xfId="2029"/>
    <cellStyle name="Normal 6 3 11" xfId="2078"/>
    <cellStyle name="Normal 6 3 12" xfId="2127"/>
    <cellStyle name="Normal 6 3 13" xfId="2174"/>
    <cellStyle name="Normal 6 3 14" xfId="2220"/>
    <cellStyle name="Normal 6 3 15" xfId="2266"/>
    <cellStyle name="Normal 6 3 16" xfId="2312"/>
    <cellStyle name="Normal 6 3 17" xfId="2358"/>
    <cellStyle name="Normal 6 3 18" xfId="2404"/>
    <cellStyle name="Normal 6 3 19" xfId="2450"/>
    <cellStyle name="Normal 6 3 2" xfId="1637"/>
    <cellStyle name="Normal 6 3 2 10" xfId="3736"/>
    <cellStyle name="Normal 6 3 2 2" xfId="4105"/>
    <cellStyle name="Normal 6 3 2 3" xfId="3772"/>
    <cellStyle name="Normal 6 3 2 4" xfId="3928"/>
    <cellStyle name="Normal 6 3 2 5" xfId="3820"/>
    <cellStyle name="Normal 6 3 2 6" xfId="4194"/>
    <cellStyle name="Normal 6 3 2 7" xfId="3951"/>
    <cellStyle name="Normal 6 3 2 8" xfId="3734"/>
    <cellStyle name="Normal 6 3 2 9" xfId="4010"/>
    <cellStyle name="Normal 6 3 20" xfId="2496"/>
    <cellStyle name="Normal 6 3 21" xfId="2541"/>
    <cellStyle name="Normal 6 3 22" xfId="2585"/>
    <cellStyle name="Normal 6 3 23" xfId="2629"/>
    <cellStyle name="Normal 6 3 24" xfId="2672"/>
    <cellStyle name="Normal 6 3 25" xfId="2715"/>
    <cellStyle name="Normal 6 3 26" xfId="2758"/>
    <cellStyle name="Normal 6 3 27" xfId="2800"/>
    <cellStyle name="Normal 6 3 28" xfId="2841"/>
    <cellStyle name="Normal 6 3 29" xfId="2882"/>
    <cellStyle name="Normal 6 3 3" xfId="1686"/>
    <cellStyle name="Normal 6 3 3 10" xfId="4212"/>
    <cellStyle name="Normal 6 3 3 2" xfId="4110"/>
    <cellStyle name="Normal 6 3 3 3" xfId="4216"/>
    <cellStyle name="Normal 6 3 3 4" xfId="3764"/>
    <cellStyle name="Normal 6 3 3 5" xfId="3848"/>
    <cellStyle name="Normal 6 3 3 6" xfId="3654"/>
    <cellStyle name="Normal 6 3 3 7" xfId="3755"/>
    <cellStyle name="Normal 6 3 3 8" xfId="3979"/>
    <cellStyle name="Normal 6 3 3 9" xfId="3751"/>
    <cellStyle name="Normal 6 3 30" xfId="2923"/>
    <cellStyle name="Normal 6 3 31" xfId="2963"/>
    <cellStyle name="Normal 6 3 32" xfId="3003"/>
    <cellStyle name="Normal 6 3 33" xfId="3042"/>
    <cellStyle name="Normal 6 3 34" xfId="3080"/>
    <cellStyle name="Normal 6 3 35" xfId="3118"/>
    <cellStyle name="Normal 6 3 36" xfId="3155"/>
    <cellStyle name="Normal 6 3 37" xfId="3191"/>
    <cellStyle name="Normal 6 3 38" xfId="3227"/>
    <cellStyle name="Normal 6 3 39" xfId="3263"/>
    <cellStyle name="Normal 6 3 4" xfId="1735"/>
    <cellStyle name="Normal 6 3 4 10" xfId="3753"/>
    <cellStyle name="Normal 6 3 4 2" xfId="4114"/>
    <cellStyle name="Normal 6 3 4 3" xfId="3991"/>
    <cellStyle name="Normal 6 3 4 4" xfId="3895"/>
    <cellStyle name="Normal 6 3 4 5" xfId="4165"/>
    <cellStyle name="Normal 6 3 4 6" xfId="3743"/>
    <cellStyle name="Normal 6 3 4 7" xfId="3701"/>
    <cellStyle name="Normal 6 3 4 8" xfId="3784"/>
    <cellStyle name="Normal 6 3 4 9" xfId="4045"/>
    <cellStyle name="Normal 6 3 40" xfId="3298"/>
    <cellStyle name="Normal 6 3 41" xfId="3333"/>
    <cellStyle name="Normal 6 3 42" xfId="3365"/>
    <cellStyle name="Normal 6 3 43" xfId="3396"/>
    <cellStyle name="Normal 6 3 44" xfId="3424"/>
    <cellStyle name="Normal 6 3 45" xfId="3451"/>
    <cellStyle name="Normal 6 3 46" xfId="3477"/>
    <cellStyle name="Normal 6 3 47" xfId="3502"/>
    <cellStyle name="Normal 6 3 48" xfId="3525"/>
    <cellStyle name="Normal 6 3 49" xfId="3546"/>
    <cellStyle name="Normal 6 3 5" xfId="1784"/>
    <cellStyle name="Normal 6 3 5 10" xfId="3847"/>
    <cellStyle name="Normal 6 3 5 2" xfId="4118"/>
    <cellStyle name="Normal 6 3 5 3" xfId="3915"/>
    <cellStyle name="Normal 6 3 5 4" xfId="3816"/>
    <cellStyle name="Normal 6 3 5 5" xfId="3714"/>
    <cellStyle name="Normal 6 3 5 6" xfId="3944"/>
    <cellStyle name="Normal 6 3 5 7" xfId="4155"/>
    <cellStyle name="Normal 6 3 5 8" xfId="3904"/>
    <cellStyle name="Normal 6 3 5 9" xfId="4160"/>
    <cellStyle name="Normal 6 3 50" xfId="3562"/>
    <cellStyle name="Normal 6 3 51" xfId="3576"/>
    <cellStyle name="Normal 6 3 52" xfId="3587"/>
    <cellStyle name="Normal 6 3 53" xfId="3596"/>
    <cellStyle name="Normal 6 3 54" xfId="3604"/>
    <cellStyle name="Normal 6 3 55" xfId="3608"/>
    <cellStyle name="Normal 6 3 56" xfId="4008"/>
    <cellStyle name="Normal 6 3 57" xfId="3775"/>
    <cellStyle name="Normal 6 3 58" xfId="4145"/>
    <cellStyle name="Normal 6 3 59" xfId="3798"/>
    <cellStyle name="Normal 6 3 6" xfId="1833"/>
    <cellStyle name="Normal 6 3 6 10" xfId="4416"/>
    <cellStyle name="Normal 6 3 6 2" xfId="4176"/>
    <cellStyle name="Normal 6 3 6 3" xfId="3728"/>
    <cellStyle name="Normal 6 3 6 4" xfId="4230"/>
    <cellStyle name="Normal 6 3 6 5" xfId="4271"/>
    <cellStyle name="Normal 6 3 6 6" xfId="4309"/>
    <cellStyle name="Normal 6 3 6 7" xfId="4342"/>
    <cellStyle name="Normal 6 3 6 8" xfId="4370"/>
    <cellStyle name="Normal 6 3 6 9" xfId="4397"/>
    <cellStyle name="Normal 6 3 60" xfId="3902"/>
    <cellStyle name="Normal 6 3 61" xfId="3715"/>
    <cellStyle name="Normal 6 3 62" xfId="3926"/>
    <cellStyle name="Normal 6 3 63" xfId="3978"/>
    <cellStyle name="Normal 6 3 64" xfId="4022"/>
    <cellStyle name="Normal 6 3 7" xfId="1882"/>
    <cellStyle name="Normal 6 3 7 10" xfId="3836"/>
    <cellStyle name="Normal 6 3 7 2" xfId="4141"/>
    <cellStyle name="Normal 6 3 7 3" xfId="3914"/>
    <cellStyle name="Normal 6 3 7 4" xfId="3858"/>
    <cellStyle name="Normal 6 3 7 5" xfId="3694"/>
    <cellStyle name="Normal 6 3 7 6" xfId="4207"/>
    <cellStyle name="Normal 6 3 7 7" xfId="3834"/>
    <cellStyle name="Normal 6 3 7 8" xfId="3695"/>
    <cellStyle name="Normal 6 3 7 9" xfId="4128"/>
    <cellStyle name="Normal 6 3 8" xfId="1931"/>
    <cellStyle name="Normal 6 3 8 10" xfId="4013"/>
    <cellStyle name="Normal 6 3 8 2" xfId="4158"/>
    <cellStyle name="Normal 6 3 8 3" xfId="3854"/>
    <cellStyle name="Normal 6 3 8 4" xfId="3899"/>
    <cellStyle name="Normal 6 3 8 5" xfId="3663"/>
    <cellStyle name="Normal 6 3 8 6" xfId="3890"/>
    <cellStyle name="Normal 6 3 8 7" xfId="3839"/>
    <cellStyle name="Normal 6 3 8 8" xfId="3940"/>
    <cellStyle name="Normal 6 3 8 9" xfId="3681"/>
    <cellStyle name="Normal 6 3 9" xfId="1980"/>
    <cellStyle name="Normal 6 30" xfId="2537"/>
    <cellStyle name="Normal 6 31" xfId="2581"/>
    <cellStyle name="Normal 6 32" xfId="2625"/>
    <cellStyle name="Normal 6 33" xfId="2668"/>
    <cellStyle name="Normal 6 34" xfId="2711"/>
    <cellStyle name="Normal 6 35" xfId="2754"/>
    <cellStyle name="Normal 6 36" xfId="2796"/>
    <cellStyle name="Normal 6 37" xfId="2837"/>
    <cellStyle name="Normal 6 38" xfId="2878"/>
    <cellStyle name="Normal 6 39" xfId="2919"/>
    <cellStyle name="Normal 6 4" xfId="836"/>
    <cellStyle name="Normal 6 4 10" xfId="4034"/>
    <cellStyle name="Normal 6 4 2" xfId="4037"/>
    <cellStyle name="Normal 6 4 3" xfId="4123"/>
    <cellStyle name="Normal 6 4 4" xfId="3970"/>
    <cellStyle name="Normal 6 4 5" xfId="3917"/>
    <cellStyle name="Normal 6 4 6" xfId="3735"/>
    <cellStyle name="Normal 6 4 7" xfId="3960"/>
    <cellStyle name="Normal 6 4 8" xfId="3976"/>
    <cellStyle name="Normal 6 4 9" xfId="4084"/>
    <cellStyle name="Normal 6 40" xfId="2959"/>
    <cellStyle name="Normal 6 41" xfId="2999"/>
    <cellStyle name="Normal 6 42" xfId="3038"/>
    <cellStyle name="Normal 6 43" xfId="3076"/>
    <cellStyle name="Normal 6 44" xfId="3114"/>
    <cellStyle name="Normal 6 45" xfId="3151"/>
    <cellStyle name="Normal 6 46" xfId="3187"/>
    <cellStyle name="Normal 6 47" xfId="3223"/>
    <cellStyle name="Normal 6 48" xfId="3259"/>
    <cellStyle name="Normal 6 49" xfId="3294"/>
    <cellStyle name="Normal 6 5" xfId="818"/>
    <cellStyle name="Normal 6 5 10" xfId="4432"/>
    <cellStyle name="Normal 6 5 2" xfId="4063"/>
    <cellStyle name="Normal 6 5 3" xfId="4044"/>
    <cellStyle name="Normal 6 5 4" xfId="4295"/>
    <cellStyle name="Normal 6 5 5" xfId="4330"/>
    <cellStyle name="Normal 6 5 6" xfId="4358"/>
    <cellStyle name="Normal 6 5 7" xfId="4385"/>
    <cellStyle name="Normal 6 5 8" xfId="4406"/>
    <cellStyle name="Normal 6 5 9" xfId="4423"/>
    <cellStyle name="Normal 6 50" xfId="3329"/>
    <cellStyle name="Normal 6 51" xfId="3361"/>
    <cellStyle name="Normal 6 52" xfId="3392"/>
    <cellStyle name="Normal 6 53" xfId="3420"/>
    <cellStyle name="Normal 6 54" xfId="3448"/>
    <cellStyle name="Normal 6 55" xfId="3474"/>
    <cellStyle name="Normal 6 56" xfId="3499"/>
    <cellStyle name="Normal 6 57" xfId="3522"/>
    <cellStyle name="Normal 6 58" xfId="3544"/>
    <cellStyle name="Normal 6 59" xfId="3560"/>
    <cellStyle name="Normal 6 6" xfId="990"/>
    <cellStyle name="Normal 6 6 10" xfId="4393"/>
    <cellStyle name="Normal 6 6 2" xfId="4041"/>
    <cellStyle name="Normal 6 6 3" xfId="3955"/>
    <cellStyle name="Normal 6 6 4" xfId="3935"/>
    <cellStyle name="Normal 6 6 5" xfId="4168"/>
    <cellStyle name="Normal 6 6 6" xfId="4197"/>
    <cellStyle name="Normal 6 6 7" xfId="4305"/>
    <cellStyle name="Normal 6 6 8" xfId="4338"/>
    <cellStyle name="Normal 6 6 9" xfId="4366"/>
    <cellStyle name="Normal 6 60" xfId="3674"/>
    <cellStyle name="Normal 6 61" xfId="3765"/>
    <cellStyle name="Normal 6 62" xfId="3826"/>
    <cellStyle name="Normal 6 63" xfId="3959"/>
    <cellStyle name="Normal 6 64" xfId="3996"/>
    <cellStyle name="Normal 6 65" xfId="3792"/>
    <cellStyle name="Normal 6 66" xfId="4080"/>
    <cellStyle name="Normal 6 67" xfId="4275"/>
    <cellStyle name="Normal 6 68" xfId="4313"/>
    <cellStyle name="Normal 6 7" xfId="1232"/>
    <cellStyle name="Normal 6 7 10" xfId="3910"/>
    <cellStyle name="Normal 6 7 2" xfId="4088"/>
    <cellStyle name="Normal 6 7 3" xfId="4237"/>
    <cellStyle name="Normal 6 7 4" xfId="3908"/>
    <cellStyle name="Normal 6 7 5" xfId="4193"/>
    <cellStyle name="Normal 6 7 6" xfId="3809"/>
    <cellStyle name="Normal 6 7 7" xfId="3922"/>
    <cellStyle name="Normal 6 7 8" xfId="4082"/>
    <cellStyle name="Normal 6 7 9" xfId="4221"/>
    <cellStyle name="Normal 6 8" xfId="1029"/>
    <cellStyle name="Normal 6 8 10" xfId="3721"/>
    <cellStyle name="Normal 6 8 2" xfId="4136"/>
    <cellStyle name="Normal 6 8 3" xfId="4121"/>
    <cellStyle name="Normal 6 8 4" xfId="4219"/>
    <cellStyle name="Normal 6 8 5" xfId="3868"/>
    <cellStyle name="Normal 6 8 6" xfId="4090"/>
    <cellStyle name="Normal 6 8 7" xfId="3706"/>
    <cellStyle name="Normal 6 8 8" xfId="4167"/>
    <cellStyle name="Normal 6 8 9" xfId="4258"/>
    <cellStyle name="Normal 6 9" xfId="1501"/>
    <cellStyle name="Normal 6 9 10" xfId="3911"/>
    <cellStyle name="Normal 6 9 2" xfId="4156"/>
    <cellStyle name="Normal 6 9 3" xfId="3932"/>
    <cellStyle name="Normal 6 9 4" xfId="3766"/>
    <cellStyle name="Normal 6 9 5" xfId="3799"/>
    <cellStyle name="Normal 6 9 6" xfId="3881"/>
    <cellStyle name="Normal 6 9 7" xfId="3942"/>
    <cellStyle name="Normal 6 9 8" xfId="3888"/>
    <cellStyle name="Normal 6 9 9" xfId="3822"/>
    <cellStyle name="Normal 6_Contrôle" xfId="4007"/>
    <cellStyle name="Normal 7" xfId="760"/>
    <cellStyle name="Normal 8" xfId="761"/>
    <cellStyle name="Normal 9" xfId="762"/>
    <cellStyle name="Normal_Bonneuil 2" xfId="48"/>
    <cellStyle name="Note" xfId="4009"/>
    <cellStyle name="Pourcentage" xfId="2" builtinId="5"/>
    <cellStyle name="Pourcentage 10" xfId="763"/>
    <cellStyle name="Pourcentage 2" xfId="31"/>
    <cellStyle name="Pourcentage 2 10" xfId="78"/>
    <cellStyle name="Pourcentage 2 11" xfId="122"/>
    <cellStyle name="Pourcentage 2 12" xfId="166"/>
    <cellStyle name="Pourcentage 2 13" xfId="210"/>
    <cellStyle name="Pourcentage 2 14" xfId="254"/>
    <cellStyle name="Pourcentage 2 15" xfId="298"/>
    <cellStyle name="Pourcentage 2 16" xfId="342"/>
    <cellStyle name="Pourcentage 2 17" xfId="386"/>
    <cellStyle name="Pourcentage 2 18" xfId="430"/>
    <cellStyle name="Pourcentage 2 19" xfId="473"/>
    <cellStyle name="Pourcentage 2 2" xfId="32"/>
    <cellStyle name="Pourcentage 2 2 10" xfId="431"/>
    <cellStyle name="Pourcentage 2 2 11" xfId="474"/>
    <cellStyle name="Pourcentage 2 2 12" xfId="518"/>
    <cellStyle name="Pourcentage 2 2 13" xfId="565"/>
    <cellStyle name="Pourcentage 2 2 14" xfId="609"/>
    <cellStyle name="Pourcentage 2 2 15" xfId="652"/>
    <cellStyle name="Pourcentage 2 2 16" xfId="694"/>
    <cellStyle name="Pourcentage 2 2 17" xfId="738"/>
    <cellStyle name="Pourcentage 2 2 18" xfId="795"/>
    <cellStyle name="Pourcentage 2 2 19" xfId="856"/>
    <cellStyle name="Pourcentage 2 2 2" xfId="79"/>
    <cellStyle name="Pourcentage 2 2 20" xfId="858"/>
    <cellStyle name="Pourcentage 2 2 21" xfId="939"/>
    <cellStyle name="Pourcentage 2 2 22" xfId="1392"/>
    <cellStyle name="Pourcentage 2 2 23" xfId="1330"/>
    <cellStyle name="Pourcentage 2 2 24" xfId="1524"/>
    <cellStyle name="Pourcentage 2 2 25" xfId="1474"/>
    <cellStyle name="Pourcentage 2 2 26" xfId="967"/>
    <cellStyle name="Pourcentage 2 2 27" xfId="1581"/>
    <cellStyle name="Pourcentage 2 2 28" xfId="1585"/>
    <cellStyle name="Pourcentage 2 2 29" xfId="1359"/>
    <cellStyle name="Pourcentage 2 2 3" xfId="123"/>
    <cellStyle name="Pourcentage 2 2 30" xfId="1075"/>
    <cellStyle name="Pourcentage 2 2 31" xfId="1498"/>
    <cellStyle name="Pourcentage 2 2 32" xfId="1207"/>
    <cellStyle name="Pourcentage 2 2 33" xfId="1492"/>
    <cellStyle name="Pourcentage 2 2 34" xfId="1513"/>
    <cellStyle name="Pourcentage 2 2 35" xfId="1240"/>
    <cellStyle name="Pourcentage 2 2 36" xfId="1340"/>
    <cellStyle name="Pourcentage 2 2 37" xfId="1136"/>
    <cellStyle name="Pourcentage 2 2 38" xfId="1107"/>
    <cellStyle name="Pourcentage 2 2 39" xfId="1383"/>
    <cellStyle name="Pourcentage 2 2 4" xfId="167"/>
    <cellStyle name="Pourcentage 2 2 40" xfId="1093"/>
    <cellStyle name="Pourcentage 2 2 41" xfId="1348"/>
    <cellStyle name="Pourcentage 2 2 42" xfId="1443"/>
    <cellStyle name="Pourcentage 2 2 43" xfId="1245"/>
    <cellStyle name="Pourcentage 2 2 44" xfId="1142"/>
    <cellStyle name="Pourcentage 2 2 45" xfId="1534"/>
    <cellStyle name="Pourcentage 2 2 46" xfId="964"/>
    <cellStyle name="Pourcentage 2 2 47" xfId="1044"/>
    <cellStyle name="Pourcentage 2 2 48" xfId="1500"/>
    <cellStyle name="Pourcentage 2 2 49" xfId="1125"/>
    <cellStyle name="Pourcentage 2 2 5" xfId="211"/>
    <cellStyle name="Pourcentage 2 2 50" xfId="1613"/>
    <cellStyle name="Pourcentage 2 2 51" xfId="1662"/>
    <cellStyle name="Pourcentage 2 2 52" xfId="1711"/>
    <cellStyle name="Pourcentage 2 2 53" xfId="1760"/>
    <cellStyle name="Pourcentage 2 2 54" xfId="1809"/>
    <cellStyle name="Pourcentage 2 2 55" xfId="1858"/>
    <cellStyle name="Pourcentage 2 2 56" xfId="1907"/>
    <cellStyle name="Pourcentage 2 2 57" xfId="1956"/>
    <cellStyle name="Pourcentage 2 2 58" xfId="2005"/>
    <cellStyle name="Pourcentage 2 2 59" xfId="2054"/>
    <cellStyle name="Pourcentage 2 2 6" xfId="255"/>
    <cellStyle name="Pourcentage 2 2 60" xfId="2103"/>
    <cellStyle name="Pourcentage 2 2 61" xfId="2151"/>
    <cellStyle name="Pourcentage 2 2 62" xfId="2197"/>
    <cellStyle name="Pourcentage 2 2 63" xfId="2243"/>
    <cellStyle name="Pourcentage 2 2 64" xfId="2289"/>
    <cellStyle name="Pourcentage 2 2 65" xfId="2335"/>
    <cellStyle name="Pourcentage 2 2 66" xfId="2381"/>
    <cellStyle name="Pourcentage 2 2 67" xfId="2427"/>
    <cellStyle name="Pourcentage 2 2 68" xfId="2473"/>
    <cellStyle name="Pourcentage 2 2 69" xfId="2519"/>
    <cellStyle name="Pourcentage 2 2 7" xfId="299"/>
    <cellStyle name="Pourcentage 2 2 70" xfId="2563"/>
    <cellStyle name="Pourcentage 2 2 71" xfId="2607"/>
    <cellStyle name="Pourcentage 2 2 72" xfId="2650"/>
    <cellStyle name="Pourcentage 2 2 73" xfId="2693"/>
    <cellStyle name="Pourcentage 2 2 74" xfId="2736"/>
    <cellStyle name="Pourcentage 2 2 75" xfId="3639"/>
    <cellStyle name="Pourcentage 2 2 76" xfId="3745"/>
    <cellStyle name="Pourcentage 2 2 77" xfId="4047"/>
    <cellStyle name="Pourcentage 2 2 78" xfId="3711"/>
    <cellStyle name="Pourcentage 2 2 79" xfId="4191"/>
    <cellStyle name="Pourcentage 2 2 8" xfId="343"/>
    <cellStyle name="Pourcentage 2 2 80" xfId="4220"/>
    <cellStyle name="Pourcentage 2 2 81" xfId="3886"/>
    <cellStyle name="Pourcentage 2 2 82" xfId="3668"/>
    <cellStyle name="Pourcentage 2 2 83" xfId="3796"/>
    <cellStyle name="Pourcentage 2 2 9" xfId="387"/>
    <cellStyle name="Pourcentage 2 20" xfId="517"/>
    <cellStyle name="Pourcentage 2 21" xfId="564"/>
    <cellStyle name="Pourcentage 2 22" xfId="608"/>
    <cellStyle name="Pourcentage 2 23" xfId="651"/>
    <cellStyle name="Pourcentage 2 24" xfId="693"/>
    <cellStyle name="Pourcentage 2 25" xfId="737"/>
    <cellStyle name="Pourcentage 2 26" xfId="794"/>
    <cellStyle name="Pourcentage 2 27" xfId="862"/>
    <cellStyle name="Pourcentage 2 28" xfId="894"/>
    <cellStyle name="Pourcentage 2 29" xfId="938"/>
    <cellStyle name="Pourcentage 2 3" xfId="33"/>
    <cellStyle name="Pourcentage 2 3 10" xfId="432"/>
    <cellStyle name="Pourcentage 2 3 11" xfId="475"/>
    <cellStyle name="Pourcentage 2 3 12" xfId="519"/>
    <cellStyle name="Pourcentage 2 3 13" xfId="566"/>
    <cellStyle name="Pourcentage 2 3 14" xfId="610"/>
    <cellStyle name="Pourcentage 2 3 15" xfId="653"/>
    <cellStyle name="Pourcentage 2 3 16" xfId="695"/>
    <cellStyle name="Pourcentage 2 3 17" xfId="739"/>
    <cellStyle name="Pourcentage 2 3 18" xfId="796"/>
    <cellStyle name="Pourcentage 2 3 19" xfId="852"/>
    <cellStyle name="Pourcentage 2 3 2" xfId="80"/>
    <cellStyle name="Pourcentage 2 3 20" xfId="817"/>
    <cellStyle name="Pourcentage 2 3 21" xfId="940"/>
    <cellStyle name="Pourcentage 2 3 22" xfId="1357"/>
    <cellStyle name="Pourcentage 2 3 23" xfId="1021"/>
    <cellStyle name="Pourcentage 2 3 24" xfId="1153"/>
    <cellStyle name="Pourcentage 2 3 25" xfId="1034"/>
    <cellStyle name="Pourcentage 2 3 26" xfId="1310"/>
    <cellStyle name="Pourcentage 2 3 27" xfId="1024"/>
    <cellStyle name="Pourcentage 2 3 28" xfId="1000"/>
    <cellStyle name="Pourcentage 2 3 29" xfId="1464"/>
    <cellStyle name="Pourcentage 2 3 3" xfId="124"/>
    <cellStyle name="Pourcentage 2 3 30" xfId="1365"/>
    <cellStyle name="Pourcentage 2 3 31" xfId="1332"/>
    <cellStyle name="Pourcentage 2 3 32" xfId="1444"/>
    <cellStyle name="Pourcentage 2 3 33" xfId="1211"/>
    <cellStyle name="Pourcentage 2 3 34" xfId="1341"/>
    <cellStyle name="Pourcentage 2 3 35" xfId="1022"/>
    <cellStyle name="Pourcentage 2 3 36" xfId="1113"/>
    <cellStyle name="Pourcentage 2 3 37" xfId="1108"/>
    <cellStyle name="Pourcentage 2 3 38" xfId="1347"/>
    <cellStyle name="Pourcentage 2 3 39" xfId="1483"/>
    <cellStyle name="Pourcentage 2 3 4" xfId="168"/>
    <cellStyle name="Pourcentage 2 3 40" xfId="1208"/>
    <cellStyle name="Pourcentage 2 3 41" xfId="1452"/>
    <cellStyle name="Pourcentage 2 3 42" xfId="1210"/>
    <cellStyle name="Pourcentage 2 3 43" xfId="1377"/>
    <cellStyle name="Pourcentage 2 3 44" xfId="1331"/>
    <cellStyle name="Pourcentage 2 3 45" xfId="1484"/>
    <cellStyle name="Pourcentage 2 3 46" xfId="1166"/>
    <cellStyle name="Pourcentage 2 3 47" xfId="1145"/>
    <cellStyle name="Pourcentage 2 3 48" xfId="1345"/>
    <cellStyle name="Pourcentage 2 3 49" xfId="1559"/>
    <cellStyle name="Pourcentage 2 3 5" xfId="212"/>
    <cellStyle name="Pourcentage 2 3 50" xfId="1161"/>
    <cellStyle name="Pourcentage 2 3 51" xfId="954"/>
    <cellStyle name="Pourcentage 2 3 52" xfId="1467"/>
    <cellStyle name="Pourcentage 2 3 53" xfId="1284"/>
    <cellStyle name="Pourcentage 2 3 54" xfId="1487"/>
    <cellStyle name="Pourcentage 2 3 55" xfId="1016"/>
    <cellStyle name="Pourcentage 2 3 56" xfId="1502"/>
    <cellStyle name="Pourcentage 2 3 57" xfId="1015"/>
    <cellStyle name="Pourcentage 2 3 58" xfId="1542"/>
    <cellStyle name="Pourcentage 2 3 59" xfId="1362"/>
    <cellStyle name="Pourcentage 2 3 6" xfId="256"/>
    <cellStyle name="Pourcentage 2 3 60" xfId="1522"/>
    <cellStyle name="Pourcentage 2 3 61" xfId="1549"/>
    <cellStyle name="Pourcentage 2 3 62" xfId="963"/>
    <cellStyle name="Pourcentage 2 3 63" xfId="1117"/>
    <cellStyle name="Pourcentage 2 3 64" xfId="1615"/>
    <cellStyle name="Pourcentage 2 3 65" xfId="1664"/>
    <cellStyle name="Pourcentage 2 3 66" xfId="1713"/>
    <cellStyle name="Pourcentage 2 3 67" xfId="1762"/>
    <cellStyle name="Pourcentage 2 3 68" xfId="1811"/>
    <cellStyle name="Pourcentage 2 3 69" xfId="1860"/>
    <cellStyle name="Pourcentage 2 3 7" xfId="300"/>
    <cellStyle name="Pourcentage 2 3 70" xfId="1909"/>
    <cellStyle name="Pourcentage 2 3 71" xfId="1958"/>
    <cellStyle name="Pourcentage 2 3 72" xfId="2007"/>
    <cellStyle name="Pourcentage 2 3 73" xfId="2056"/>
    <cellStyle name="Pourcentage 2 3 74" xfId="2105"/>
    <cellStyle name="Pourcentage 2 3 75" xfId="3640"/>
    <cellStyle name="Pourcentage 2 3 76" xfId="3725"/>
    <cellStyle name="Pourcentage 2 3 77" xfId="3850"/>
    <cellStyle name="Pourcentage 2 3 78" xfId="3675"/>
    <cellStyle name="Pourcentage 2 3 79" xfId="3724"/>
    <cellStyle name="Pourcentage 2 3 8" xfId="344"/>
    <cellStyle name="Pourcentage 2 3 80" xfId="3884"/>
    <cellStyle name="Pourcentage 2 3 81" xfId="3670"/>
    <cellStyle name="Pourcentage 2 3 82" xfId="4078"/>
    <cellStyle name="Pourcentage 2 3 83" xfId="4276"/>
    <cellStyle name="Pourcentage 2 3 9" xfId="388"/>
    <cellStyle name="Pourcentage 2 30" xfId="1428"/>
    <cellStyle name="Pourcentage 2 31" xfId="1212"/>
    <cellStyle name="Pourcentage 2 32" xfId="984"/>
    <cellStyle name="Pourcentage 2 33" xfId="1503"/>
    <cellStyle name="Pourcentage 2 34" xfId="1080"/>
    <cellStyle name="Pourcentage 2 35" xfId="1307"/>
    <cellStyle name="Pourcentage 2 36" xfId="1177"/>
    <cellStyle name="Pourcentage 2 37" xfId="1343"/>
    <cellStyle name="Pourcentage 2 38" xfId="1057"/>
    <cellStyle name="Pourcentage 2 39" xfId="1575"/>
    <cellStyle name="Pourcentage 2 4" xfId="34"/>
    <cellStyle name="Pourcentage 2 4 10" xfId="433"/>
    <cellStyle name="Pourcentage 2 4 11" xfId="476"/>
    <cellStyle name="Pourcentage 2 4 12" xfId="520"/>
    <cellStyle name="Pourcentage 2 4 13" xfId="567"/>
    <cellStyle name="Pourcentage 2 4 14" xfId="611"/>
    <cellStyle name="Pourcentage 2 4 15" xfId="654"/>
    <cellStyle name="Pourcentage 2 4 16" xfId="696"/>
    <cellStyle name="Pourcentage 2 4 17" xfId="740"/>
    <cellStyle name="Pourcentage 2 4 18" xfId="797"/>
    <cellStyle name="Pourcentage 2 4 19" xfId="848"/>
    <cellStyle name="Pourcentage 2 4 2" xfId="81"/>
    <cellStyle name="Pourcentage 2 4 20" xfId="880"/>
    <cellStyle name="Pourcentage 2 4 21" xfId="941"/>
    <cellStyle name="Pourcentage 2 4 22" xfId="1316"/>
    <cellStyle name="Pourcentage 2 4 23" xfId="1485"/>
    <cellStyle name="Pourcentage 2 4 24" xfId="1126"/>
    <cellStyle name="Pourcentage 2 4 25" xfId="1569"/>
    <cellStyle name="Pourcentage 2 4 26" xfId="1360"/>
    <cellStyle name="Pourcentage 2 4 27" xfId="1600"/>
    <cellStyle name="Pourcentage 2 4 28" xfId="1649"/>
    <cellStyle name="Pourcentage 2 4 29" xfId="1698"/>
    <cellStyle name="Pourcentage 2 4 3" xfId="125"/>
    <cellStyle name="Pourcentage 2 4 30" xfId="1747"/>
    <cellStyle name="Pourcentage 2 4 31" xfId="1796"/>
    <cellStyle name="Pourcentage 2 4 32" xfId="1845"/>
    <cellStyle name="Pourcentage 2 4 33" xfId="1894"/>
    <cellStyle name="Pourcentage 2 4 34" xfId="1943"/>
    <cellStyle name="Pourcentage 2 4 35" xfId="1992"/>
    <cellStyle name="Pourcentage 2 4 36" xfId="2041"/>
    <cellStyle name="Pourcentage 2 4 37" xfId="2090"/>
    <cellStyle name="Pourcentage 2 4 38" xfId="2138"/>
    <cellStyle name="Pourcentage 2 4 39" xfId="2185"/>
    <cellStyle name="Pourcentage 2 4 4" xfId="169"/>
    <cellStyle name="Pourcentage 2 4 40" xfId="2231"/>
    <cellStyle name="Pourcentage 2 4 41" xfId="2277"/>
    <cellStyle name="Pourcentage 2 4 42" xfId="2323"/>
    <cellStyle name="Pourcentage 2 4 43" xfId="2369"/>
    <cellStyle name="Pourcentage 2 4 44" xfId="2415"/>
    <cellStyle name="Pourcentage 2 4 45" xfId="2461"/>
    <cellStyle name="Pourcentage 2 4 46" xfId="2507"/>
    <cellStyle name="Pourcentage 2 4 47" xfId="2551"/>
    <cellStyle name="Pourcentage 2 4 48" xfId="2595"/>
    <cellStyle name="Pourcentage 2 4 49" xfId="2639"/>
    <cellStyle name="Pourcentage 2 4 5" xfId="213"/>
    <cellStyle name="Pourcentage 2 4 50" xfId="2682"/>
    <cellStyle name="Pourcentage 2 4 51" xfId="2725"/>
    <cellStyle name="Pourcentage 2 4 52" xfId="2768"/>
    <cellStyle name="Pourcentage 2 4 53" xfId="2810"/>
    <cellStyle name="Pourcentage 2 4 54" xfId="2851"/>
    <cellStyle name="Pourcentage 2 4 55" xfId="2892"/>
    <cellStyle name="Pourcentage 2 4 56" xfId="2932"/>
    <cellStyle name="Pourcentage 2 4 57" xfId="2972"/>
    <cellStyle name="Pourcentage 2 4 58" xfId="3012"/>
    <cellStyle name="Pourcentage 2 4 59" xfId="3051"/>
    <cellStyle name="Pourcentage 2 4 6" xfId="257"/>
    <cellStyle name="Pourcentage 2 4 60" xfId="3089"/>
    <cellStyle name="Pourcentage 2 4 61" xfId="3127"/>
    <cellStyle name="Pourcentage 2 4 62" xfId="3164"/>
    <cellStyle name="Pourcentage 2 4 63" xfId="3200"/>
    <cellStyle name="Pourcentage 2 4 64" xfId="3236"/>
    <cellStyle name="Pourcentage 2 4 65" xfId="3271"/>
    <cellStyle name="Pourcentage 2 4 66" xfId="3306"/>
    <cellStyle name="Pourcentage 2 4 67" xfId="3341"/>
    <cellStyle name="Pourcentage 2 4 68" xfId="3372"/>
    <cellStyle name="Pourcentage 2 4 69" xfId="3403"/>
    <cellStyle name="Pourcentage 2 4 7" xfId="301"/>
    <cellStyle name="Pourcentage 2 4 70" xfId="3431"/>
    <cellStyle name="Pourcentage 2 4 71" xfId="3457"/>
    <cellStyle name="Pourcentage 2 4 72" xfId="3483"/>
    <cellStyle name="Pourcentage 2 4 73" xfId="3507"/>
    <cellStyle name="Pourcentage 2 4 74" xfId="3530"/>
    <cellStyle name="Pourcentage 2 4 75" xfId="3641"/>
    <cellStyle name="Pourcentage 2 4 76" xfId="3704"/>
    <cellStyle name="Pourcentage 2 4 77" xfId="4247"/>
    <cellStyle name="Pourcentage 2 4 78" xfId="4284"/>
    <cellStyle name="Pourcentage 2 4 79" xfId="4320"/>
    <cellStyle name="Pourcentage 2 4 8" xfId="345"/>
    <cellStyle name="Pourcentage 2 4 80" xfId="4351"/>
    <cellStyle name="Pourcentage 2 4 81" xfId="4378"/>
    <cellStyle name="Pourcentage 2 4 82" xfId="4402"/>
    <cellStyle name="Pourcentage 2 4 83" xfId="4420"/>
    <cellStyle name="Pourcentage 2 4 9" xfId="389"/>
    <cellStyle name="Pourcentage 2 40" xfId="1082"/>
    <cellStyle name="Pourcentage 2 41" xfId="1191"/>
    <cellStyle name="Pourcentage 2 42" xfId="1453"/>
    <cellStyle name="Pourcentage 2 43" xfId="1168"/>
    <cellStyle name="Pourcentage 2 44" xfId="1033"/>
    <cellStyle name="Pourcentage 2 45" xfId="1352"/>
    <cellStyle name="Pourcentage 2 46" xfId="1291"/>
    <cellStyle name="Pourcentage 2 47" xfId="1178"/>
    <cellStyle name="Pourcentage 2 48" xfId="1301"/>
    <cellStyle name="Pourcentage 2 49" xfId="1408"/>
    <cellStyle name="Pourcentage 2 5" xfId="35"/>
    <cellStyle name="Pourcentage 2 5 10" xfId="434"/>
    <cellStyle name="Pourcentage 2 5 11" xfId="477"/>
    <cellStyle name="Pourcentage 2 5 12" xfId="521"/>
    <cellStyle name="Pourcentage 2 5 13" xfId="568"/>
    <cellStyle name="Pourcentage 2 5 14" xfId="612"/>
    <cellStyle name="Pourcentage 2 5 15" xfId="655"/>
    <cellStyle name="Pourcentage 2 5 16" xfId="697"/>
    <cellStyle name="Pourcentage 2 5 17" xfId="741"/>
    <cellStyle name="Pourcentage 2 5 18" xfId="798"/>
    <cellStyle name="Pourcentage 2 5 19" xfId="844"/>
    <cellStyle name="Pourcentage 2 5 2" xfId="82"/>
    <cellStyle name="Pourcentage 2 5 20" xfId="847"/>
    <cellStyle name="Pourcentage 2 5 21" xfId="942"/>
    <cellStyle name="Pourcentage 2 5 22" xfId="1275"/>
    <cellStyle name="Pourcentage 2 5 23" xfId="1219"/>
    <cellStyle name="Pourcentage 2 5 24" xfId="1103"/>
    <cellStyle name="Pourcentage 2 5 25" xfId="1572"/>
    <cellStyle name="Pourcentage 2 5 26" xfId="1202"/>
    <cellStyle name="Pourcentage 2 5 27" xfId="960"/>
    <cellStyle name="Pourcentage 2 5 28" xfId="1234"/>
    <cellStyle name="Pourcentage 2 5 29" xfId="1072"/>
    <cellStyle name="Pourcentage 2 5 3" xfId="126"/>
    <cellStyle name="Pourcentage 2 5 30" xfId="1632"/>
    <cellStyle name="Pourcentage 2 5 31" xfId="1681"/>
    <cellStyle name="Pourcentage 2 5 32" xfId="1730"/>
    <cellStyle name="Pourcentage 2 5 33" xfId="1779"/>
    <cellStyle name="Pourcentage 2 5 34" xfId="1828"/>
    <cellStyle name="Pourcentage 2 5 35" xfId="1877"/>
    <cellStyle name="Pourcentage 2 5 36" xfId="1926"/>
    <cellStyle name="Pourcentage 2 5 37" xfId="1975"/>
    <cellStyle name="Pourcentage 2 5 38" xfId="2024"/>
    <cellStyle name="Pourcentage 2 5 39" xfId="2073"/>
    <cellStyle name="Pourcentage 2 5 4" xfId="170"/>
    <cellStyle name="Pourcentage 2 5 40" xfId="2122"/>
    <cellStyle name="Pourcentage 2 5 41" xfId="2169"/>
    <cellStyle name="Pourcentage 2 5 42" xfId="2215"/>
    <cellStyle name="Pourcentage 2 5 43" xfId="2261"/>
    <cellStyle name="Pourcentage 2 5 44" xfId="2307"/>
    <cellStyle name="Pourcentage 2 5 45" xfId="2353"/>
    <cellStyle name="Pourcentage 2 5 46" xfId="2399"/>
    <cellStyle name="Pourcentage 2 5 47" xfId="2445"/>
    <cellStyle name="Pourcentage 2 5 48" xfId="2491"/>
    <cellStyle name="Pourcentage 2 5 49" xfId="2536"/>
    <cellStyle name="Pourcentage 2 5 5" xfId="214"/>
    <cellStyle name="Pourcentage 2 5 50" xfId="2580"/>
    <cellStyle name="Pourcentage 2 5 51" xfId="2624"/>
    <cellStyle name="Pourcentage 2 5 52" xfId="2667"/>
    <cellStyle name="Pourcentage 2 5 53" xfId="2710"/>
    <cellStyle name="Pourcentage 2 5 54" xfId="2753"/>
    <cellStyle name="Pourcentage 2 5 55" xfId="2795"/>
    <cellStyle name="Pourcentage 2 5 56" xfId="2836"/>
    <cellStyle name="Pourcentage 2 5 57" xfId="2877"/>
    <cellStyle name="Pourcentage 2 5 58" xfId="2918"/>
    <cellStyle name="Pourcentage 2 5 59" xfId="2958"/>
    <cellStyle name="Pourcentage 2 5 6" xfId="258"/>
    <cellStyle name="Pourcentage 2 5 60" xfId="2998"/>
    <cellStyle name="Pourcentage 2 5 61" xfId="3037"/>
    <cellStyle name="Pourcentage 2 5 62" xfId="3075"/>
    <cellStyle name="Pourcentage 2 5 63" xfId="3113"/>
    <cellStyle name="Pourcentage 2 5 64" xfId="3150"/>
    <cellStyle name="Pourcentage 2 5 65" xfId="3186"/>
    <cellStyle name="Pourcentage 2 5 66" xfId="3222"/>
    <cellStyle name="Pourcentage 2 5 67" xfId="3258"/>
    <cellStyle name="Pourcentage 2 5 68" xfId="3293"/>
    <cellStyle name="Pourcentage 2 5 69" xfId="3328"/>
    <cellStyle name="Pourcentage 2 5 7" xfId="302"/>
    <cellStyle name="Pourcentage 2 5 70" xfId="3360"/>
    <cellStyle name="Pourcentage 2 5 71" xfId="3391"/>
    <cellStyle name="Pourcentage 2 5 72" xfId="3419"/>
    <cellStyle name="Pourcentage 2 5 73" xfId="3447"/>
    <cellStyle name="Pourcentage 2 5 74" xfId="3473"/>
    <cellStyle name="Pourcentage 2 5 75" xfId="3642"/>
    <cellStyle name="Pourcentage 2 5 76" xfId="4142"/>
    <cellStyle name="Pourcentage 2 5 77" xfId="3892"/>
    <cellStyle name="Pourcentage 2 5 78" xfId="3756"/>
    <cellStyle name="Pourcentage 2 5 79" xfId="3958"/>
    <cellStyle name="Pourcentage 2 5 8" xfId="346"/>
    <cellStyle name="Pourcentage 2 5 80" xfId="3804"/>
    <cellStyle name="Pourcentage 2 5 81" xfId="4210"/>
    <cellStyle name="Pourcentage 2 5 82" xfId="3747"/>
    <cellStyle name="Pourcentage 2 5 83" xfId="3957"/>
    <cellStyle name="Pourcentage 2 5 9" xfId="390"/>
    <cellStyle name="Pourcentage 2 50" xfId="1171"/>
    <cellStyle name="Pourcentage 2 51" xfId="1612"/>
    <cellStyle name="Pourcentage 2 52" xfId="1661"/>
    <cellStyle name="Pourcentage 2 53" xfId="1710"/>
    <cellStyle name="Pourcentage 2 54" xfId="1759"/>
    <cellStyle name="Pourcentage 2 55" xfId="1808"/>
    <cellStyle name="Pourcentage 2 56" xfId="1857"/>
    <cellStyle name="Pourcentage 2 57" xfId="1906"/>
    <cellStyle name="Pourcentage 2 58" xfId="1955"/>
    <cellStyle name="Pourcentage 2 59" xfId="2004"/>
    <cellStyle name="Pourcentage 2 6" xfId="36"/>
    <cellStyle name="Pourcentage 2 6 10" xfId="435"/>
    <cellStyle name="Pourcentage 2 6 11" xfId="478"/>
    <cellStyle name="Pourcentage 2 6 12" xfId="522"/>
    <cellStyle name="Pourcentage 2 6 13" xfId="569"/>
    <cellStyle name="Pourcentage 2 6 14" xfId="613"/>
    <cellStyle name="Pourcentage 2 6 15" xfId="656"/>
    <cellStyle name="Pourcentage 2 6 16" xfId="698"/>
    <cellStyle name="Pourcentage 2 6 17" xfId="742"/>
    <cellStyle name="Pourcentage 2 6 18" xfId="799"/>
    <cellStyle name="Pourcentage 2 6 19" xfId="837"/>
    <cellStyle name="Pourcentage 2 6 2" xfId="83"/>
    <cellStyle name="Pourcentage 2 6 20" xfId="895"/>
    <cellStyle name="Pourcentage 2 6 21" xfId="943"/>
    <cellStyle name="Pourcentage 2 6 22" xfId="1235"/>
    <cellStyle name="Pourcentage 2 6 23" xfId="1608"/>
    <cellStyle name="Pourcentage 2 6 24" xfId="1657"/>
    <cellStyle name="Pourcentage 2 6 25" xfId="1706"/>
    <cellStyle name="Pourcentage 2 6 26" xfId="1755"/>
    <cellStyle name="Pourcentage 2 6 27" xfId="1804"/>
    <cellStyle name="Pourcentage 2 6 28" xfId="1853"/>
    <cellStyle name="Pourcentage 2 6 29" xfId="1902"/>
    <cellStyle name="Pourcentage 2 6 3" xfId="127"/>
    <cellStyle name="Pourcentage 2 6 30" xfId="1951"/>
    <cellStyle name="Pourcentage 2 6 31" xfId="2000"/>
    <cellStyle name="Pourcentage 2 6 32" xfId="2049"/>
    <cellStyle name="Pourcentage 2 6 33" xfId="2098"/>
    <cellStyle name="Pourcentage 2 6 34" xfId="2146"/>
    <cellStyle name="Pourcentage 2 6 35" xfId="2192"/>
    <cellStyle name="Pourcentage 2 6 36" xfId="2238"/>
    <cellStyle name="Pourcentage 2 6 37" xfId="2284"/>
    <cellStyle name="Pourcentage 2 6 38" xfId="2330"/>
    <cellStyle name="Pourcentage 2 6 39" xfId="2376"/>
    <cellStyle name="Pourcentage 2 6 4" xfId="171"/>
    <cellStyle name="Pourcentage 2 6 40" xfId="2422"/>
    <cellStyle name="Pourcentage 2 6 41" xfId="2468"/>
    <cellStyle name="Pourcentage 2 6 42" xfId="2514"/>
    <cellStyle name="Pourcentage 2 6 43" xfId="2558"/>
    <cellStyle name="Pourcentage 2 6 44" xfId="2602"/>
    <cellStyle name="Pourcentage 2 6 45" xfId="2646"/>
    <cellStyle name="Pourcentage 2 6 46" xfId="2689"/>
    <cellStyle name="Pourcentage 2 6 47" xfId="2732"/>
    <cellStyle name="Pourcentage 2 6 48" xfId="2775"/>
    <cellStyle name="Pourcentage 2 6 49" xfId="2817"/>
    <cellStyle name="Pourcentage 2 6 5" xfId="215"/>
    <cellStyle name="Pourcentage 2 6 50" xfId="2858"/>
    <cellStyle name="Pourcentage 2 6 51" xfId="2899"/>
    <cellStyle name="Pourcentage 2 6 52" xfId="2939"/>
    <cellStyle name="Pourcentage 2 6 53" xfId="2979"/>
    <cellStyle name="Pourcentage 2 6 54" xfId="3019"/>
    <cellStyle name="Pourcentage 2 6 55" xfId="3058"/>
    <cellStyle name="Pourcentage 2 6 56" xfId="3096"/>
    <cellStyle name="Pourcentage 2 6 57" xfId="3134"/>
    <cellStyle name="Pourcentage 2 6 58" xfId="3171"/>
    <cellStyle name="Pourcentage 2 6 59" xfId="3207"/>
    <cellStyle name="Pourcentage 2 6 6" xfId="259"/>
    <cellStyle name="Pourcentage 2 6 60" xfId="3243"/>
    <cellStyle name="Pourcentage 2 6 61" xfId="3278"/>
    <cellStyle name="Pourcentage 2 6 62" xfId="3313"/>
    <cellStyle name="Pourcentage 2 6 63" xfId="3347"/>
    <cellStyle name="Pourcentage 2 6 64" xfId="3378"/>
    <cellStyle name="Pourcentage 2 6 65" xfId="3408"/>
    <cellStyle name="Pourcentage 2 6 66" xfId="3436"/>
    <cellStyle name="Pourcentage 2 6 67" xfId="3462"/>
    <cellStyle name="Pourcentage 2 6 68" xfId="3488"/>
    <cellStyle name="Pourcentage 2 6 69" xfId="3512"/>
    <cellStyle name="Pourcentage 2 6 7" xfId="303"/>
    <cellStyle name="Pourcentage 2 6 70" xfId="3534"/>
    <cellStyle name="Pourcentage 2 6 71" xfId="3550"/>
    <cellStyle name="Pourcentage 2 6 72" xfId="3566"/>
    <cellStyle name="Pourcentage 2 6 73" xfId="3578"/>
    <cellStyle name="Pourcentage 2 6 74" xfId="3588"/>
    <cellStyle name="Pourcentage 2 6 75" xfId="3643"/>
    <cellStyle name="Pourcentage 2 6 76" xfId="4152"/>
    <cellStyle name="Pourcentage 2 6 77" xfId="4218"/>
    <cellStyle name="Pourcentage 2 6 78" xfId="3829"/>
    <cellStyle name="Pourcentage 2 6 79" xfId="3797"/>
    <cellStyle name="Pourcentage 2 6 8" xfId="347"/>
    <cellStyle name="Pourcentage 2 6 80" xfId="3962"/>
    <cellStyle name="Pourcentage 2 6 81" xfId="3938"/>
    <cellStyle name="Pourcentage 2 6 82" xfId="4085"/>
    <cellStyle name="Pourcentage 2 6 83" xfId="3709"/>
    <cellStyle name="Pourcentage 2 6 9" xfId="391"/>
    <cellStyle name="Pourcentage 2 60" xfId="2053"/>
    <cellStyle name="Pourcentage 2 61" xfId="2102"/>
    <cellStyle name="Pourcentage 2 62" xfId="2150"/>
    <cellStyle name="Pourcentage 2 63" xfId="2196"/>
    <cellStyle name="Pourcentage 2 64" xfId="2242"/>
    <cellStyle name="Pourcentage 2 65" xfId="2288"/>
    <cellStyle name="Pourcentage 2 66" xfId="2334"/>
    <cellStyle name="Pourcentage 2 67" xfId="2380"/>
    <cellStyle name="Pourcentage 2 68" xfId="2426"/>
    <cellStyle name="Pourcentage 2 69" xfId="2472"/>
    <cellStyle name="Pourcentage 2 7" xfId="37"/>
    <cellStyle name="Pourcentage 2 7 10" xfId="436"/>
    <cellStyle name="Pourcentage 2 7 11" xfId="479"/>
    <cellStyle name="Pourcentage 2 7 12" xfId="523"/>
    <cellStyle name="Pourcentage 2 7 13" xfId="570"/>
    <cellStyle name="Pourcentage 2 7 14" xfId="614"/>
    <cellStyle name="Pourcentage 2 7 15" xfId="657"/>
    <cellStyle name="Pourcentage 2 7 16" xfId="699"/>
    <cellStyle name="Pourcentage 2 7 17" xfId="743"/>
    <cellStyle name="Pourcentage 2 7 18" xfId="800"/>
    <cellStyle name="Pourcentage 2 7 19" xfId="831"/>
    <cellStyle name="Pourcentage 2 7 2" xfId="84"/>
    <cellStyle name="Pourcentage 2 7 20" xfId="860"/>
    <cellStyle name="Pourcentage 2 7 21" xfId="944"/>
    <cellStyle name="Pourcentage 2 7 22" xfId="1199"/>
    <cellStyle name="Pourcentage 2 7 23" xfId="1031"/>
    <cellStyle name="Pourcentage 2 7 24" xfId="1423"/>
    <cellStyle name="Pourcentage 2 7 25" xfId="1516"/>
    <cellStyle name="Pourcentage 2 7 26" xfId="1124"/>
    <cellStyle name="Pourcentage 2 7 27" xfId="1052"/>
    <cellStyle name="Pourcentage 2 7 28" xfId="1152"/>
    <cellStyle name="Pourcentage 2 7 29" xfId="1146"/>
    <cellStyle name="Pourcentage 2 7 3" xfId="128"/>
    <cellStyle name="Pourcentage 2 7 30" xfId="1380"/>
    <cellStyle name="Pourcentage 2 7 31" xfId="1214"/>
    <cellStyle name="Pourcentage 2 7 32" xfId="982"/>
    <cellStyle name="Pourcentage 2 7 33" xfId="1623"/>
    <cellStyle name="Pourcentage 2 7 34" xfId="1672"/>
    <cellStyle name="Pourcentage 2 7 35" xfId="1721"/>
    <cellStyle name="Pourcentage 2 7 36" xfId="1770"/>
    <cellStyle name="Pourcentage 2 7 37" xfId="1819"/>
    <cellStyle name="Pourcentage 2 7 38" xfId="1868"/>
    <cellStyle name="Pourcentage 2 7 39" xfId="1917"/>
    <cellStyle name="Pourcentage 2 7 4" xfId="172"/>
    <cellStyle name="Pourcentage 2 7 40" xfId="1966"/>
    <cellStyle name="Pourcentage 2 7 41" xfId="2015"/>
    <cellStyle name="Pourcentage 2 7 42" xfId="2064"/>
    <cellStyle name="Pourcentage 2 7 43" xfId="2113"/>
    <cellStyle name="Pourcentage 2 7 44" xfId="2160"/>
    <cellStyle name="Pourcentage 2 7 45" xfId="2206"/>
    <cellStyle name="Pourcentage 2 7 46" xfId="2252"/>
    <cellStyle name="Pourcentage 2 7 47" xfId="2298"/>
    <cellStyle name="Pourcentage 2 7 48" xfId="2344"/>
    <cellStyle name="Pourcentage 2 7 49" xfId="2390"/>
    <cellStyle name="Pourcentage 2 7 5" xfId="216"/>
    <cellStyle name="Pourcentage 2 7 50" xfId="2436"/>
    <cellStyle name="Pourcentage 2 7 51" xfId="2482"/>
    <cellStyle name="Pourcentage 2 7 52" xfId="2527"/>
    <cellStyle name="Pourcentage 2 7 53" xfId="2571"/>
    <cellStyle name="Pourcentage 2 7 54" xfId="2615"/>
    <cellStyle name="Pourcentage 2 7 55" xfId="2658"/>
    <cellStyle name="Pourcentage 2 7 56" xfId="2701"/>
    <cellStyle name="Pourcentage 2 7 57" xfId="2744"/>
    <cellStyle name="Pourcentage 2 7 58" xfId="2786"/>
    <cellStyle name="Pourcentage 2 7 59" xfId="2827"/>
    <cellStyle name="Pourcentage 2 7 6" xfId="260"/>
    <cellStyle name="Pourcentage 2 7 60" xfId="2868"/>
    <cellStyle name="Pourcentage 2 7 61" xfId="2909"/>
    <cellStyle name="Pourcentage 2 7 62" xfId="2949"/>
    <cellStyle name="Pourcentage 2 7 63" xfId="2989"/>
    <cellStyle name="Pourcentage 2 7 64" xfId="3029"/>
    <cellStyle name="Pourcentage 2 7 65" xfId="3067"/>
    <cellStyle name="Pourcentage 2 7 66" xfId="3105"/>
    <cellStyle name="Pourcentage 2 7 67" xfId="3142"/>
    <cellStyle name="Pourcentage 2 7 68" xfId="3178"/>
    <cellStyle name="Pourcentage 2 7 69" xfId="3214"/>
    <cellStyle name="Pourcentage 2 7 7" xfId="304"/>
    <cellStyle name="Pourcentage 2 7 70" xfId="3250"/>
    <cellStyle name="Pourcentage 2 7 71" xfId="3285"/>
    <cellStyle name="Pourcentage 2 7 72" xfId="3320"/>
    <cellStyle name="Pourcentage 2 7 73" xfId="3352"/>
    <cellStyle name="Pourcentage 2 7 74" xfId="3383"/>
    <cellStyle name="Pourcentage 2 7 75" xfId="3644"/>
    <cellStyle name="Pourcentage 2 7 76" xfId="4245"/>
    <cellStyle name="Pourcentage 2 7 77" xfId="4283"/>
    <cellStyle name="Pourcentage 2 7 78" xfId="4319"/>
    <cellStyle name="Pourcentage 2 7 79" xfId="4350"/>
    <cellStyle name="Pourcentage 2 7 8" xfId="348"/>
    <cellStyle name="Pourcentage 2 7 80" xfId="4377"/>
    <cellStyle name="Pourcentage 2 7 81" xfId="4401"/>
    <cellStyle name="Pourcentage 2 7 82" xfId="4419"/>
    <cellStyle name="Pourcentage 2 7 83" xfId="4431"/>
    <cellStyle name="Pourcentage 2 7 9" xfId="392"/>
    <cellStyle name="Pourcentage 2 70" xfId="2518"/>
    <cellStyle name="Pourcentage 2 71" xfId="2562"/>
    <cellStyle name="Pourcentage 2 72" xfId="2606"/>
    <cellStyle name="Pourcentage 2 73" xfId="2649"/>
    <cellStyle name="Pourcentage 2 74" xfId="2692"/>
    <cellStyle name="Pourcentage 2 75" xfId="2735"/>
    <cellStyle name="Pourcentage 2 76" xfId="2778"/>
    <cellStyle name="Pourcentage 2 77" xfId="2820"/>
    <cellStyle name="Pourcentage 2 78" xfId="2861"/>
    <cellStyle name="Pourcentage 2 79" xfId="2902"/>
    <cellStyle name="Pourcentage 2 8" xfId="38"/>
    <cellStyle name="Pourcentage 2 8 10" xfId="437"/>
    <cellStyle name="Pourcentage 2 8 11" xfId="480"/>
    <cellStyle name="Pourcentage 2 8 12" xfId="524"/>
    <cellStyle name="Pourcentage 2 8 13" xfId="571"/>
    <cellStyle name="Pourcentage 2 8 14" xfId="615"/>
    <cellStyle name="Pourcentage 2 8 15" xfId="658"/>
    <cellStyle name="Pourcentage 2 8 16" xfId="700"/>
    <cellStyle name="Pourcentage 2 8 17" xfId="744"/>
    <cellStyle name="Pourcentage 2 8 18" xfId="801"/>
    <cellStyle name="Pourcentage 2 8 19" xfId="820"/>
    <cellStyle name="Pourcentage 2 8 2" xfId="85"/>
    <cellStyle name="Pourcentage 2 8 20" xfId="881"/>
    <cellStyle name="Pourcentage 2 8 21" xfId="945"/>
    <cellStyle name="Pourcentage 2 8 22" xfId="1157"/>
    <cellStyle name="Pourcentage 2 8 23" xfId="993"/>
    <cellStyle name="Pourcentage 2 8 24" xfId="1115"/>
    <cellStyle name="Pourcentage 2 8 25" xfId="995"/>
    <cellStyle name="Pourcentage 2 8 26" xfId="1002"/>
    <cellStyle name="Pourcentage 2 8 27" xfId="1389"/>
    <cellStyle name="Pourcentage 2 8 28" xfId="1480"/>
    <cellStyle name="Pourcentage 2 8 29" xfId="1325"/>
    <cellStyle name="Pourcentage 2 8 3" xfId="129"/>
    <cellStyle name="Pourcentage 2 8 30" xfId="1096"/>
    <cellStyle name="Pourcentage 2 8 31" xfId="1190"/>
    <cellStyle name="Pourcentage 2 8 32" xfId="1493"/>
    <cellStyle name="Pourcentage 2 8 33" xfId="1476"/>
    <cellStyle name="Pourcentage 2 8 34" xfId="1592"/>
    <cellStyle name="Pourcentage 2 8 35" xfId="1641"/>
    <cellStyle name="Pourcentage 2 8 36" xfId="1690"/>
    <cellStyle name="Pourcentage 2 8 37" xfId="1739"/>
    <cellStyle name="Pourcentage 2 8 38" xfId="1788"/>
    <cellStyle name="Pourcentage 2 8 39" xfId="1837"/>
    <cellStyle name="Pourcentage 2 8 4" xfId="173"/>
    <cellStyle name="Pourcentage 2 8 40" xfId="1886"/>
    <cellStyle name="Pourcentage 2 8 41" xfId="1935"/>
    <cellStyle name="Pourcentage 2 8 42" xfId="1984"/>
    <cellStyle name="Pourcentage 2 8 43" xfId="2033"/>
    <cellStyle name="Pourcentage 2 8 44" xfId="2082"/>
    <cellStyle name="Pourcentage 2 8 45" xfId="2130"/>
    <cellStyle name="Pourcentage 2 8 46" xfId="2177"/>
    <cellStyle name="Pourcentage 2 8 47" xfId="2223"/>
    <cellStyle name="Pourcentage 2 8 48" xfId="2269"/>
    <cellStyle name="Pourcentage 2 8 49" xfId="2315"/>
    <cellStyle name="Pourcentage 2 8 5" xfId="217"/>
    <cellStyle name="Pourcentage 2 8 50" xfId="2361"/>
    <cellStyle name="Pourcentage 2 8 51" xfId="2407"/>
    <cellStyle name="Pourcentage 2 8 52" xfId="2453"/>
    <cellStyle name="Pourcentage 2 8 53" xfId="2499"/>
    <cellStyle name="Pourcentage 2 8 54" xfId="2544"/>
    <cellStyle name="Pourcentage 2 8 55" xfId="2588"/>
    <cellStyle name="Pourcentage 2 8 56" xfId="2632"/>
    <cellStyle name="Pourcentage 2 8 57" xfId="2675"/>
    <cellStyle name="Pourcentage 2 8 58" xfId="2718"/>
    <cellStyle name="Pourcentage 2 8 59" xfId="2761"/>
    <cellStyle name="Pourcentage 2 8 6" xfId="261"/>
    <cellStyle name="Pourcentage 2 8 60" xfId="2803"/>
    <cellStyle name="Pourcentage 2 8 61" xfId="2844"/>
    <cellStyle name="Pourcentage 2 8 62" xfId="2885"/>
    <cellStyle name="Pourcentage 2 8 63" xfId="2925"/>
    <cellStyle name="Pourcentage 2 8 64" xfId="2965"/>
    <cellStyle name="Pourcentage 2 8 65" xfId="3005"/>
    <cellStyle name="Pourcentage 2 8 66" xfId="3044"/>
    <cellStyle name="Pourcentage 2 8 67" xfId="3082"/>
    <cellStyle name="Pourcentage 2 8 68" xfId="3120"/>
    <cellStyle name="Pourcentage 2 8 69" xfId="3157"/>
    <cellStyle name="Pourcentage 2 8 7" xfId="305"/>
    <cellStyle name="Pourcentage 2 8 70" xfId="3193"/>
    <cellStyle name="Pourcentage 2 8 71" xfId="3229"/>
    <cellStyle name="Pourcentage 2 8 72" xfId="3265"/>
    <cellStyle name="Pourcentage 2 8 73" xfId="3300"/>
    <cellStyle name="Pourcentage 2 8 74" xfId="3335"/>
    <cellStyle name="Pourcentage 2 8 75" xfId="3645"/>
    <cellStyle name="Pourcentage 2 8 76" xfId="4226"/>
    <cellStyle name="Pourcentage 2 8 77" xfId="4267"/>
    <cellStyle name="Pourcentage 2 8 78" xfId="3824"/>
    <cellStyle name="Pourcentage 2 8 79" xfId="4027"/>
    <cellStyle name="Pourcentage 2 8 8" xfId="349"/>
    <cellStyle name="Pourcentage 2 8 80" xfId="3973"/>
    <cellStyle name="Pourcentage 2 8 81" xfId="3813"/>
    <cellStyle name="Pourcentage 2 8 82" xfId="3819"/>
    <cellStyle name="Pourcentage 2 8 83" xfId="4234"/>
    <cellStyle name="Pourcentage 2 8 9" xfId="393"/>
    <cellStyle name="Pourcentage 2 80" xfId="2942"/>
    <cellStyle name="Pourcentage 2 81" xfId="2982"/>
    <cellStyle name="Pourcentage 2 82" xfId="3022"/>
    <cellStyle name="Pourcentage 2 83" xfId="3638"/>
    <cellStyle name="Pourcentage 2 84" xfId="3767"/>
    <cellStyle name="Pourcentage 2 85" xfId="3782"/>
    <cellStyle name="Pourcentage 2 86" xfId="4251"/>
    <cellStyle name="Pourcentage 2 87" xfId="4288"/>
    <cellStyle name="Pourcentage 2 88" xfId="4324"/>
    <cellStyle name="Pourcentage 2 89" xfId="4354"/>
    <cellStyle name="Pourcentage 2 9" xfId="39"/>
    <cellStyle name="Pourcentage 2 9 10" xfId="438"/>
    <cellStyle name="Pourcentage 2 9 11" xfId="481"/>
    <cellStyle name="Pourcentage 2 9 12" xfId="525"/>
    <cellStyle name="Pourcentage 2 9 13" xfId="572"/>
    <cellStyle name="Pourcentage 2 9 14" xfId="616"/>
    <cellStyle name="Pourcentage 2 9 15" xfId="659"/>
    <cellStyle name="Pourcentage 2 9 16" xfId="701"/>
    <cellStyle name="Pourcentage 2 9 17" xfId="745"/>
    <cellStyle name="Pourcentage 2 9 18" xfId="802"/>
    <cellStyle name="Pourcentage 2 9 19" xfId="814"/>
    <cellStyle name="Pourcentage 2 9 2" xfId="86"/>
    <cellStyle name="Pourcentage 2 9 20" xfId="841"/>
    <cellStyle name="Pourcentage 2 9 21" xfId="946"/>
    <cellStyle name="Pourcentage 2 9 22" xfId="1118"/>
    <cellStyle name="Pourcentage 2 9 23" xfId="1571"/>
    <cellStyle name="Pourcentage 2 9 24" xfId="1279"/>
    <cellStyle name="Pourcentage 2 9 25" xfId="1026"/>
    <cellStyle name="Pourcentage 2 9 26" xfId="1620"/>
    <cellStyle name="Pourcentage 2 9 27" xfId="1669"/>
    <cellStyle name="Pourcentage 2 9 28" xfId="1718"/>
    <cellStyle name="Pourcentage 2 9 29" xfId="1767"/>
    <cellStyle name="Pourcentage 2 9 3" xfId="130"/>
    <cellStyle name="Pourcentage 2 9 30" xfId="1816"/>
    <cellStyle name="Pourcentage 2 9 31" xfId="1865"/>
    <cellStyle name="Pourcentage 2 9 32" xfId="1914"/>
    <cellStyle name="Pourcentage 2 9 33" xfId="1963"/>
    <cellStyle name="Pourcentage 2 9 34" xfId="2012"/>
    <cellStyle name="Pourcentage 2 9 35" xfId="2061"/>
    <cellStyle name="Pourcentage 2 9 36" xfId="2110"/>
    <cellStyle name="Pourcentage 2 9 37" xfId="2157"/>
    <cellStyle name="Pourcentage 2 9 38" xfId="2203"/>
    <cellStyle name="Pourcentage 2 9 39" xfId="2249"/>
    <cellStyle name="Pourcentage 2 9 4" xfId="174"/>
    <cellStyle name="Pourcentage 2 9 40" xfId="2295"/>
    <cellStyle name="Pourcentage 2 9 41" xfId="2341"/>
    <cellStyle name="Pourcentage 2 9 42" xfId="2387"/>
    <cellStyle name="Pourcentage 2 9 43" xfId="2433"/>
    <cellStyle name="Pourcentage 2 9 44" xfId="2479"/>
    <cellStyle name="Pourcentage 2 9 45" xfId="2524"/>
    <cellStyle name="Pourcentage 2 9 46" xfId="2568"/>
    <cellStyle name="Pourcentage 2 9 47" xfId="2612"/>
    <cellStyle name="Pourcentage 2 9 48" xfId="2655"/>
    <cellStyle name="Pourcentage 2 9 49" xfId="2698"/>
    <cellStyle name="Pourcentage 2 9 5" xfId="218"/>
    <cellStyle name="Pourcentage 2 9 50" xfId="2741"/>
    <cellStyle name="Pourcentage 2 9 51" xfId="2783"/>
    <cellStyle name="Pourcentage 2 9 52" xfId="2824"/>
    <cellStyle name="Pourcentage 2 9 53" xfId="2865"/>
    <cellStyle name="Pourcentage 2 9 54" xfId="2906"/>
    <cellStyle name="Pourcentage 2 9 55" xfId="2946"/>
    <cellStyle name="Pourcentage 2 9 56" xfId="2986"/>
    <cellStyle name="Pourcentage 2 9 57" xfId="3026"/>
    <cellStyle name="Pourcentage 2 9 58" xfId="3064"/>
    <cellStyle name="Pourcentage 2 9 59" xfId="3102"/>
    <cellStyle name="Pourcentage 2 9 6" xfId="262"/>
    <cellStyle name="Pourcentage 2 9 60" xfId="3139"/>
    <cellStyle name="Pourcentage 2 9 61" xfId="3175"/>
    <cellStyle name="Pourcentage 2 9 62" xfId="3211"/>
    <cellStyle name="Pourcentage 2 9 63" xfId="3247"/>
    <cellStyle name="Pourcentage 2 9 64" xfId="3282"/>
    <cellStyle name="Pourcentage 2 9 65" xfId="3317"/>
    <cellStyle name="Pourcentage 2 9 66" xfId="3351"/>
    <cellStyle name="Pourcentage 2 9 67" xfId="3382"/>
    <cellStyle name="Pourcentage 2 9 68" xfId="3412"/>
    <cellStyle name="Pourcentage 2 9 69" xfId="3440"/>
    <cellStyle name="Pourcentage 2 9 7" xfId="306"/>
    <cellStyle name="Pourcentage 2 9 70" xfId="3466"/>
    <cellStyle name="Pourcentage 2 9 71" xfId="3492"/>
    <cellStyle name="Pourcentage 2 9 72" xfId="3515"/>
    <cellStyle name="Pourcentage 2 9 73" xfId="3537"/>
    <cellStyle name="Pourcentage 2 9 74" xfId="3553"/>
    <cellStyle name="Pourcentage 2 9 75" xfId="3646"/>
    <cellStyle name="Pourcentage 2 9 76" xfId="4203"/>
    <cellStyle name="Pourcentage 2 9 77" xfId="4038"/>
    <cellStyle name="Pourcentage 2 9 78" xfId="4281"/>
    <cellStyle name="Pourcentage 2 9 79" xfId="4317"/>
    <cellStyle name="Pourcentage 2 9 8" xfId="350"/>
    <cellStyle name="Pourcentage 2 9 80" xfId="4348"/>
    <cellStyle name="Pourcentage 2 9 81" xfId="4375"/>
    <cellStyle name="Pourcentage 2 9 82" xfId="4399"/>
    <cellStyle name="Pourcentage 2 9 83" xfId="4417"/>
    <cellStyle name="Pourcentage 2 9 9" xfId="394"/>
    <cellStyle name="Pourcentage 2 90" xfId="4381"/>
    <cellStyle name="Pourcentage 2 91" xfId="4404"/>
    <cellStyle name="Pourcentage 3" xfId="40"/>
    <cellStyle name="Pourcentage 3 10" xfId="439"/>
    <cellStyle name="Pourcentage 3 11" xfId="482"/>
    <cellStyle name="Pourcentage 3 12" xfId="526"/>
    <cellStyle name="Pourcentage 3 13" xfId="573"/>
    <cellStyle name="Pourcentage 3 14" xfId="617"/>
    <cellStyle name="Pourcentage 3 15" xfId="660"/>
    <cellStyle name="Pourcentage 3 16" xfId="702"/>
    <cellStyle name="Pourcentage 3 17" xfId="746"/>
    <cellStyle name="Pourcentage 3 18" xfId="803"/>
    <cellStyle name="Pourcentage 3 19" xfId="826"/>
    <cellStyle name="Pourcentage 3 2" xfId="87"/>
    <cellStyle name="Pourcentage 3 20" xfId="864"/>
    <cellStyle name="Pourcentage 3 21" xfId="947"/>
    <cellStyle name="Pourcentage 3 22" xfId="1045"/>
    <cellStyle name="Pourcentage 3 23" xfId="1461"/>
    <cellStyle name="Pourcentage 3 24" xfId="1477"/>
    <cellStyle name="Pourcentage 3 25" xfId="1514"/>
    <cellStyle name="Pourcentage 3 26" xfId="1206"/>
    <cellStyle name="Pourcentage 3 27" xfId="1530"/>
    <cellStyle name="Pourcentage 3 28" xfId="1163"/>
    <cellStyle name="Pourcentage 3 29" xfId="1262"/>
    <cellStyle name="Pourcentage 3 3" xfId="131"/>
    <cellStyle name="Pourcentage 3 30" xfId="1100"/>
    <cellStyle name="Pourcentage 3 31" xfId="996"/>
    <cellStyle name="Pourcentage 3 32" xfId="1051"/>
    <cellStyle name="Pourcentage 3 33" xfId="1193"/>
    <cellStyle name="Pourcentage 3 34" xfId="1378"/>
    <cellStyle name="Pourcentage 3 35" xfId="1290"/>
    <cellStyle name="Pourcentage 3 36" xfId="1254"/>
    <cellStyle name="Pourcentage 3 37" xfId="1411"/>
    <cellStyle name="Pourcentage 3 38" xfId="1019"/>
    <cellStyle name="Pourcentage 3 39" xfId="1311"/>
    <cellStyle name="Pourcentage 3 4" xfId="175"/>
    <cellStyle name="Pourcentage 3 40" xfId="976"/>
    <cellStyle name="Pourcentage 3 41" xfId="1233"/>
    <cellStyle name="Pourcentage 3 42" xfId="980"/>
    <cellStyle name="Pourcentage 3 43" xfId="1003"/>
    <cellStyle name="Pourcentage 3 44" xfId="1353"/>
    <cellStyle name="Pourcentage 3 45" xfId="1215"/>
    <cellStyle name="Pourcentage 3 46" xfId="1299"/>
    <cellStyle name="Pourcentage 3 47" xfId="1486"/>
    <cellStyle name="Pourcentage 3 48" xfId="1087"/>
    <cellStyle name="Pourcentage 3 49" xfId="1617"/>
    <cellStyle name="Pourcentage 3 5" xfId="219"/>
    <cellStyle name="Pourcentage 3 50" xfId="1666"/>
    <cellStyle name="Pourcentage 3 51" xfId="1715"/>
    <cellStyle name="Pourcentage 3 52" xfId="1764"/>
    <cellStyle name="Pourcentage 3 53" xfId="1813"/>
    <cellStyle name="Pourcentage 3 54" xfId="1862"/>
    <cellStyle name="Pourcentage 3 55" xfId="1911"/>
    <cellStyle name="Pourcentage 3 56" xfId="1960"/>
    <cellStyle name="Pourcentage 3 57" xfId="2009"/>
    <cellStyle name="Pourcentage 3 58" xfId="2058"/>
    <cellStyle name="Pourcentage 3 59" xfId="2107"/>
    <cellStyle name="Pourcentage 3 6" xfId="263"/>
    <cellStyle name="Pourcentage 3 60" xfId="2154"/>
    <cellStyle name="Pourcentage 3 61" xfId="2200"/>
    <cellStyle name="Pourcentage 3 62" xfId="2246"/>
    <cellStyle name="Pourcentage 3 63" xfId="2292"/>
    <cellStyle name="Pourcentage 3 64" xfId="2338"/>
    <cellStyle name="Pourcentage 3 65" xfId="2384"/>
    <cellStyle name="Pourcentage 3 66" xfId="2430"/>
    <cellStyle name="Pourcentage 3 67" xfId="2476"/>
    <cellStyle name="Pourcentage 3 68" xfId="2522"/>
    <cellStyle name="Pourcentage 3 69" xfId="2566"/>
    <cellStyle name="Pourcentage 3 7" xfId="307"/>
    <cellStyle name="Pourcentage 3 70" xfId="2610"/>
    <cellStyle name="Pourcentage 3 71" xfId="2653"/>
    <cellStyle name="Pourcentage 3 72" xfId="2696"/>
    <cellStyle name="Pourcentage 3 73" xfId="2739"/>
    <cellStyle name="Pourcentage 3 74" xfId="2781"/>
    <cellStyle name="Pourcentage 3 75" xfId="3647"/>
    <cellStyle name="Pourcentage 3 76" xfId="4188"/>
    <cellStyle name="Pourcentage 3 77" xfId="3835"/>
    <cellStyle name="Pourcentage 3 78" xfId="4150"/>
    <cellStyle name="Pourcentage 3 79" xfId="4250"/>
    <cellStyle name="Pourcentage 3 8" xfId="351"/>
    <cellStyle name="Pourcentage 3 80" xfId="4287"/>
    <cellStyle name="Pourcentage 3 81" xfId="4323"/>
    <cellStyle name="Pourcentage 3 82" xfId="4353"/>
    <cellStyle name="Pourcentage 3 83" xfId="4380"/>
    <cellStyle name="Pourcentage 3 9" xfId="395"/>
    <cellStyle name="Pourcentage 4" xfId="41"/>
    <cellStyle name="Pourcentage 4 10" xfId="440"/>
    <cellStyle name="Pourcentage 4 11" xfId="483"/>
    <cellStyle name="Pourcentage 4 12" xfId="527"/>
    <cellStyle name="Pourcentage 4 13" xfId="574"/>
    <cellStyle name="Pourcentage 4 14" xfId="618"/>
    <cellStyle name="Pourcentage 4 15" xfId="661"/>
    <cellStyle name="Pourcentage 4 16" xfId="703"/>
    <cellStyle name="Pourcentage 4 17" xfId="747"/>
    <cellStyle name="Pourcentage 4 18" xfId="804"/>
    <cellStyle name="Pourcentage 4 19" xfId="896"/>
    <cellStyle name="Pourcentage 4 2" xfId="88"/>
    <cellStyle name="Pourcentage 4 20" xfId="842"/>
    <cellStyle name="Pourcentage 4 21" xfId="948"/>
    <cellStyle name="Pourcentage 4 22" xfId="1005"/>
    <cellStyle name="Pourcentage 4 23" xfId="1271"/>
    <cellStyle name="Pourcentage 4 24" xfId="1374"/>
    <cellStyle name="Pourcentage 4 25" xfId="1481"/>
    <cellStyle name="Pourcentage 4 26" xfId="1283"/>
    <cellStyle name="Pourcentage 4 27" xfId="1526"/>
    <cellStyle name="Pourcentage 4 28" xfId="1363"/>
    <cellStyle name="Pourcentage 4 29" xfId="1482"/>
    <cellStyle name="Pourcentage 4 3" xfId="132"/>
    <cellStyle name="Pourcentage 4 30" xfId="1242"/>
    <cellStyle name="Pourcentage 4 31" xfId="1257"/>
    <cellStyle name="Pourcentage 4 32" xfId="1297"/>
    <cellStyle name="Pourcentage 4 33" xfId="1604"/>
    <cellStyle name="Pourcentage 4 34" xfId="1653"/>
    <cellStyle name="Pourcentage 4 35" xfId="1702"/>
    <cellStyle name="Pourcentage 4 36" xfId="1751"/>
    <cellStyle name="Pourcentage 4 37" xfId="1800"/>
    <cellStyle name="Pourcentage 4 38" xfId="1849"/>
    <cellStyle name="Pourcentage 4 39" xfId="1898"/>
    <cellStyle name="Pourcentage 4 4" xfId="176"/>
    <cellStyle name="Pourcentage 4 40" xfId="1947"/>
    <cellStyle name="Pourcentage 4 41" xfId="1996"/>
    <cellStyle name="Pourcentage 4 42" xfId="2045"/>
    <cellStyle name="Pourcentage 4 43" xfId="2094"/>
    <cellStyle name="Pourcentage 4 44" xfId="2142"/>
    <cellStyle name="Pourcentage 4 45" xfId="2188"/>
    <cellStyle name="Pourcentage 4 46" xfId="2234"/>
    <cellStyle name="Pourcentage 4 47" xfId="2280"/>
    <cellStyle name="Pourcentage 4 48" xfId="2326"/>
    <cellStyle name="Pourcentage 4 49" xfId="2372"/>
    <cellStyle name="Pourcentage 4 5" xfId="220"/>
    <cellStyle name="Pourcentage 4 50" xfId="2418"/>
    <cellStyle name="Pourcentage 4 51" xfId="2464"/>
    <cellStyle name="Pourcentage 4 52" xfId="2510"/>
    <cellStyle name="Pourcentage 4 53" xfId="2554"/>
    <cellStyle name="Pourcentage 4 54" xfId="2598"/>
    <cellStyle name="Pourcentage 4 55" xfId="2642"/>
    <cellStyle name="Pourcentage 4 56" xfId="2685"/>
    <cellStyle name="Pourcentage 4 57" xfId="2728"/>
    <cellStyle name="Pourcentage 4 58" xfId="2771"/>
    <cellStyle name="Pourcentage 4 59" xfId="2813"/>
    <cellStyle name="Pourcentage 4 6" xfId="264"/>
    <cellStyle name="Pourcentage 4 60" xfId="2854"/>
    <cellStyle name="Pourcentage 4 61" xfId="2895"/>
    <cellStyle name="Pourcentage 4 62" xfId="2935"/>
    <cellStyle name="Pourcentage 4 63" xfId="2975"/>
    <cellStyle name="Pourcentage 4 64" xfId="3015"/>
    <cellStyle name="Pourcentage 4 65" xfId="3054"/>
    <cellStyle name="Pourcentage 4 66" xfId="3092"/>
    <cellStyle name="Pourcentage 4 67" xfId="3130"/>
    <cellStyle name="Pourcentage 4 68" xfId="3167"/>
    <cellStyle name="Pourcentage 4 69" xfId="3203"/>
    <cellStyle name="Pourcentage 4 7" xfId="308"/>
    <cellStyle name="Pourcentage 4 70" xfId="3239"/>
    <cellStyle name="Pourcentage 4 71" xfId="3274"/>
    <cellStyle name="Pourcentage 4 72" xfId="3309"/>
    <cellStyle name="Pourcentage 4 73" xfId="3344"/>
    <cellStyle name="Pourcentage 4 74" xfId="3375"/>
    <cellStyle name="Pourcentage 4 75" xfId="3648"/>
    <cellStyle name="Pourcentage 4 76" xfId="4133"/>
    <cellStyle name="Pourcentage 4 77" xfId="4240"/>
    <cellStyle name="Pourcentage 4 78" xfId="3982"/>
    <cellStyle name="Pourcentage 4 79" xfId="3664"/>
    <cellStyle name="Pourcentage 4 8" xfId="352"/>
    <cellStyle name="Pourcentage 4 80" xfId="3913"/>
    <cellStyle name="Pourcentage 4 81" xfId="3936"/>
    <cellStyle name="Pourcentage 4 82" xfId="4204"/>
    <cellStyle name="Pourcentage 4 83" xfId="4055"/>
    <cellStyle name="Pourcentage 4 9" xfId="396"/>
    <cellStyle name="Pourcentage 5" xfId="42"/>
    <cellStyle name="Pourcentage 5 10" xfId="441"/>
    <cellStyle name="Pourcentage 5 11" xfId="484"/>
    <cellStyle name="Pourcentage 5 12" xfId="528"/>
    <cellStyle name="Pourcentage 5 13" xfId="575"/>
    <cellStyle name="Pourcentage 5 14" xfId="619"/>
    <cellStyle name="Pourcentage 5 15" xfId="662"/>
    <cellStyle name="Pourcentage 5 16" xfId="704"/>
    <cellStyle name="Pourcentage 5 17" xfId="748"/>
    <cellStyle name="Pourcentage 5 18" xfId="805"/>
    <cellStyle name="Pourcentage 5 19" xfId="891"/>
    <cellStyle name="Pourcentage 5 2" xfId="89"/>
    <cellStyle name="Pourcentage 5 20" xfId="908"/>
    <cellStyle name="Pourcentage 5 21" xfId="949"/>
    <cellStyle name="Pourcentage 5 22" xfId="1628"/>
    <cellStyle name="Pourcentage 5 23" xfId="1677"/>
    <cellStyle name="Pourcentage 5 24" xfId="1726"/>
    <cellStyle name="Pourcentage 5 25" xfId="1775"/>
    <cellStyle name="Pourcentage 5 26" xfId="1824"/>
    <cellStyle name="Pourcentage 5 27" xfId="1873"/>
    <cellStyle name="Pourcentage 5 28" xfId="1922"/>
    <cellStyle name="Pourcentage 5 29" xfId="1971"/>
    <cellStyle name="Pourcentage 5 3" xfId="133"/>
    <cellStyle name="Pourcentage 5 30" xfId="2020"/>
    <cellStyle name="Pourcentage 5 31" xfId="2069"/>
    <cellStyle name="Pourcentage 5 32" xfId="2118"/>
    <cellStyle name="Pourcentage 5 33" xfId="2165"/>
    <cellStyle name="Pourcentage 5 34" xfId="2211"/>
    <cellStyle name="Pourcentage 5 35" xfId="2257"/>
    <cellStyle name="Pourcentage 5 36" xfId="2303"/>
    <cellStyle name="Pourcentage 5 37" xfId="2349"/>
    <cellStyle name="Pourcentage 5 38" xfId="2395"/>
    <cellStyle name="Pourcentage 5 39" xfId="2441"/>
    <cellStyle name="Pourcentage 5 4" xfId="177"/>
    <cellStyle name="Pourcentage 5 40" xfId="2487"/>
    <cellStyle name="Pourcentage 5 41" xfId="2532"/>
    <cellStyle name="Pourcentage 5 42" xfId="2576"/>
    <cellStyle name="Pourcentage 5 43" xfId="2620"/>
    <cellStyle name="Pourcentage 5 44" xfId="2663"/>
    <cellStyle name="Pourcentage 5 45" xfId="2706"/>
    <cellStyle name="Pourcentage 5 46" xfId="2749"/>
    <cellStyle name="Pourcentage 5 47" xfId="2791"/>
    <cellStyle name="Pourcentage 5 48" xfId="2832"/>
    <cellStyle name="Pourcentage 5 49" xfId="2873"/>
    <cellStyle name="Pourcentage 5 5" xfId="221"/>
    <cellStyle name="Pourcentage 5 50" xfId="2914"/>
    <cellStyle name="Pourcentage 5 51" xfId="2954"/>
    <cellStyle name="Pourcentage 5 52" xfId="2994"/>
    <cellStyle name="Pourcentage 5 53" xfId="3033"/>
    <cellStyle name="Pourcentage 5 54" xfId="3071"/>
    <cellStyle name="Pourcentage 5 55" xfId="3109"/>
    <cellStyle name="Pourcentage 5 56" xfId="3146"/>
    <cellStyle name="Pourcentage 5 57" xfId="3182"/>
    <cellStyle name="Pourcentage 5 58" xfId="3218"/>
    <cellStyle name="Pourcentage 5 59" xfId="3254"/>
    <cellStyle name="Pourcentage 5 6" xfId="265"/>
    <cellStyle name="Pourcentage 5 60" xfId="3289"/>
    <cellStyle name="Pourcentage 5 61" xfId="3324"/>
    <cellStyle name="Pourcentage 5 62" xfId="3356"/>
    <cellStyle name="Pourcentage 5 63" xfId="3387"/>
    <cellStyle name="Pourcentage 5 64" xfId="3416"/>
    <cellStyle name="Pourcentage 5 65" xfId="3444"/>
    <cellStyle name="Pourcentage 5 66" xfId="3470"/>
    <cellStyle name="Pourcentage 5 67" xfId="3496"/>
    <cellStyle name="Pourcentage 5 68" xfId="3519"/>
    <cellStyle name="Pourcentage 5 69" xfId="3541"/>
    <cellStyle name="Pourcentage 5 7" xfId="309"/>
    <cellStyle name="Pourcentage 5 70" xfId="3557"/>
    <cellStyle name="Pourcentage 5 71" xfId="3572"/>
    <cellStyle name="Pourcentage 5 72" xfId="3583"/>
    <cellStyle name="Pourcentage 5 73" xfId="3592"/>
    <cellStyle name="Pourcentage 5 74" xfId="3600"/>
    <cellStyle name="Pourcentage 5 75" xfId="3649"/>
    <cellStyle name="Pourcentage 5 76" xfId="4100"/>
    <cellStyle name="Pourcentage 5 77" xfId="3773"/>
    <cellStyle name="Pourcentage 5 78" xfId="4077"/>
    <cellStyle name="Pourcentage 5 79" xfId="3856"/>
    <cellStyle name="Pourcentage 5 8" xfId="353"/>
    <cellStyle name="Pourcentage 5 80" xfId="3776"/>
    <cellStyle name="Pourcentage 5 81" xfId="4211"/>
    <cellStyle name="Pourcentage 5 82" xfId="3887"/>
    <cellStyle name="Pourcentage 5 83" xfId="3609"/>
    <cellStyle name="Pourcentage 5 9" xfId="397"/>
    <cellStyle name="Pourcentage 6" xfId="43"/>
    <cellStyle name="Pourcentage 6 10" xfId="442"/>
    <cellStyle name="Pourcentage 6 11" xfId="485"/>
    <cellStyle name="Pourcentage 6 12" xfId="529"/>
    <cellStyle name="Pourcentage 6 13" xfId="576"/>
    <cellStyle name="Pourcentage 6 14" xfId="620"/>
    <cellStyle name="Pourcentage 6 15" xfId="663"/>
    <cellStyle name="Pourcentage 6 16" xfId="705"/>
    <cellStyle name="Pourcentage 6 17" xfId="749"/>
    <cellStyle name="Pourcentage 6 18" xfId="806"/>
    <cellStyle name="Pourcentage 6 19" xfId="886"/>
    <cellStyle name="Pourcentage 6 2" xfId="90"/>
    <cellStyle name="Pourcentage 6 20" xfId="905"/>
    <cellStyle name="Pourcentage 6 21" xfId="950"/>
    <cellStyle name="Pourcentage 6 22" xfId="1625"/>
    <cellStyle name="Pourcentage 6 23" xfId="1674"/>
    <cellStyle name="Pourcentage 6 24" xfId="1723"/>
    <cellStyle name="Pourcentage 6 25" xfId="1772"/>
    <cellStyle name="Pourcentage 6 26" xfId="1821"/>
    <cellStyle name="Pourcentage 6 27" xfId="1870"/>
    <cellStyle name="Pourcentage 6 28" xfId="1919"/>
    <cellStyle name="Pourcentage 6 29" xfId="1968"/>
    <cellStyle name="Pourcentage 6 3" xfId="134"/>
    <cellStyle name="Pourcentage 6 30" xfId="2017"/>
    <cellStyle name="Pourcentage 6 31" xfId="2066"/>
    <cellStyle name="Pourcentage 6 32" xfId="2115"/>
    <cellStyle name="Pourcentage 6 33" xfId="2162"/>
    <cellStyle name="Pourcentage 6 34" xfId="2208"/>
    <cellStyle name="Pourcentage 6 35" xfId="2254"/>
    <cellStyle name="Pourcentage 6 36" xfId="2300"/>
    <cellStyle name="Pourcentage 6 37" xfId="2346"/>
    <cellStyle name="Pourcentage 6 38" xfId="2392"/>
    <cellStyle name="Pourcentage 6 39" xfId="2438"/>
    <cellStyle name="Pourcentage 6 4" xfId="178"/>
    <cellStyle name="Pourcentage 6 40" xfId="2484"/>
    <cellStyle name="Pourcentage 6 41" xfId="2529"/>
    <cellStyle name="Pourcentage 6 42" xfId="2573"/>
    <cellStyle name="Pourcentage 6 43" xfId="2617"/>
    <cellStyle name="Pourcentage 6 44" xfId="2660"/>
    <cellStyle name="Pourcentage 6 45" xfId="2703"/>
    <cellStyle name="Pourcentage 6 46" xfId="2746"/>
    <cellStyle name="Pourcentage 6 47" xfId="2788"/>
    <cellStyle name="Pourcentage 6 48" xfId="2829"/>
    <cellStyle name="Pourcentage 6 49" xfId="2870"/>
    <cellStyle name="Pourcentage 6 5" xfId="222"/>
    <cellStyle name="Pourcentage 6 50" xfId="2911"/>
    <cellStyle name="Pourcentage 6 51" xfId="2951"/>
    <cellStyle name="Pourcentage 6 52" xfId="2991"/>
    <cellStyle name="Pourcentage 6 53" xfId="3030"/>
    <cellStyle name="Pourcentage 6 54" xfId="3068"/>
    <cellStyle name="Pourcentage 6 55" xfId="3106"/>
    <cellStyle name="Pourcentage 6 56" xfId="3143"/>
    <cellStyle name="Pourcentage 6 57" xfId="3179"/>
    <cellStyle name="Pourcentage 6 58" xfId="3215"/>
    <cellStyle name="Pourcentage 6 59" xfId="3251"/>
    <cellStyle name="Pourcentage 6 6" xfId="266"/>
    <cellStyle name="Pourcentage 6 60" xfId="3286"/>
    <cellStyle name="Pourcentage 6 61" xfId="3321"/>
    <cellStyle name="Pourcentage 6 62" xfId="3353"/>
    <cellStyle name="Pourcentage 6 63" xfId="3384"/>
    <cellStyle name="Pourcentage 6 64" xfId="3413"/>
    <cellStyle name="Pourcentage 6 65" xfId="3441"/>
    <cellStyle name="Pourcentage 6 66" xfId="3467"/>
    <cellStyle name="Pourcentage 6 67" xfId="3493"/>
    <cellStyle name="Pourcentage 6 68" xfId="3516"/>
    <cellStyle name="Pourcentage 6 69" xfId="3538"/>
    <cellStyle name="Pourcentage 6 7" xfId="310"/>
    <cellStyle name="Pourcentage 6 70" xfId="3554"/>
    <cellStyle name="Pourcentage 6 71" xfId="3569"/>
    <cellStyle name="Pourcentage 6 72" xfId="3580"/>
    <cellStyle name="Pourcentage 6 73" xfId="3589"/>
    <cellStyle name="Pourcentage 6 74" xfId="3597"/>
    <cellStyle name="Pourcentage 6 75" xfId="3650"/>
    <cellStyle name="Pourcentage 6 76" xfId="4059"/>
    <cellStyle name="Pourcentage 6 77" xfId="4140"/>
    <cellStyle name="Pourcentage 6 78" xfId="3778"/>
    <cellStyle name="Pourcentage 6 79" xfId="4071"/>
    <cellStyle name="Pourcentage 6 8" xfId="354"/>
    <cellStyle name="Pourcentage 6 80" xfId="4290"/>
    <cellStyle name="Pourcentage 6 81" xfId="4326"/>
    <cellStyle name="Pourcentage 6 82" xfId="4355"/>
    <cellStyle name="Pourcentage 6 83" xfId="4382"/>
    <cellStyle name="Pourcentage 6 9" xfId="398"/>
    <cellStyle name="Pourcentage 7" xfId="44"/>
    <cellStyle name="Pourcentage 7 10" xfId="443"/>
    <cellStyle name="Pourcentage 7 11" xfId="486"/>
    <cellStyle name="Pourcentage 7 12" xfId="530"/>
    <cellStyle name="Pourcentage 7 13" xfId="577"/>
    <cellStyle name="Pourcentage 7 14" xfId="621"/>
    <cellStyle name="Pourcentage 7 15" xfId="664"/>
    <cellStyle name="Pourcentage 7 16" xfId="706"/>
    <cellStyle name="Pourcentage 7 17" xfId="750"/>
    <cellStyle name="Pourcentage 7 18" xfId="807"/>
    <cellStyle name="Pourcentage 7 19" xfId="882"/>
    <cellStyle name="Pourcentage 7 2" xfId="91"/>
    <cellStyle name="Pourcentage 7 20" xfId="902"/>
    <cellStyle name="Pourcentage 7 21" xfId="951"/>
    <cellStyle name="Pourcentage 7 22" xfId="1582"/>
    <cellStyle name="Pourcentage 7 23" xfId="1470"/>
    <cellStyle name="Pourcentage 7 24" xfId="1167"/>
    <cellStyle name="Pourcentage 7 25" xfId="1106"/>
    <cellStyle name="Pourcentage 7 26" xfId="1457"/>
    <cellStyle name="Pourcentage 7 27" xfId="1061"/>
    <cellStyle name="Pourcentage 7 28" xfId="1421"/>
    <cellStyle name="Pourcentage 7 29" xfId="1594"/>
    <cellStyle name="Pourcentage 7 3" xfId="135"/>
    <cellStyle name="Pourcentage 7 30" xfId="1643"/>
    <cellStyle name="Pourcentage 7 31" xfId="1692"/>
    <cellStyle name="Pourcentage 7 32" xfId="1741"/>
    <cellStyle name="Pourcentage 7 33" xfId="1790"/>
    <cellStyle name="Pourcentage 7 34" xfId="1839"/>
    <cellStyle name="Pourcentage 7 35" xfId="1888"/>
    <cellStyle name="Pourcentage 7 36" xfId="1937"/>
    <cellStyle name="Pourcentage 7 37" xfId="1986"/>
    <cellStyle name="Pourcentage 7 38" xfId="2035"/>
    <cellStyle name="Pourcentage 7 39" xfId="2084"/>
    <cellStyle name="Pourcentage 7 4" xfId="179"/>
    <cellStyle name="Pourcentage 7 40" xfId="2132"/>
    <cellStyle name="Pourcentage 7 41" xfId="2179"/>
    <cellStyle name="Pourcentage 7 42" xfId="2225"/>
    <cellStyle name="Pourcentage 7 43" xfId="2271"/>
    <cellStyle name="Pourcentage 7 44" xfId="2317"/>
    <cellStyle name="Pourcentage 7 45" xfId="2363"/>
    <cellStyle name="Pourcentage 7 46" xfId="2409"/>
    <cellStyle name="Pourcentage 7 47" xfId="2455"/>
    <cellStyle name="Pourcentage 7 48" xfId="2501"/>
    <cellStyle name="Pourcentage 7 49" xfId="2545"/>
    <cellStyle name="Pourcentage 7 5" xfId="223"/>
    <cellStyle name="Pourcentage 7 50" xfId="2589"/>
    <cellStyle name="Pourcentage 7 51" xfId="2633"/>
    <cellStyle name="Pourcentage 7 52" xfId="2676"/>
    <cellStyle name="Pourcentage 7 53" xfId="2719"/>
    <cellStyle name="Pourcentage 7 54" xfId="2762"/>
    <cellStyle name="Pourcentage 7 55" xfId="2804"/>
    <cellStyle name="Pourcentage 7 56" xfId="2845"/>
    <cellStyle name="Pourcentage 7 57" xfId="2886"/>
    <cellStyle name="Pourcentage 7 58" xfId="2926"/>
    <cellStyle name="Pourcentage 7 59" xfId="2966"/>
    <cellStyle name="Pourcentage 7 6" xfId="267"/>
    <cellStyle name="Pourcentage 7 60" xfId="3006"/>
    <cellStyle name="Pourcentage 7 61" xfId="3045"/>
    <cellStyle name="Pourcentage 7 62" xfId="3083"/>
    <cellStyle name="Pourcentage 7 63" xfId="3121"/>
    <cellStyle name="Pourcentage 7 64" xfId="3158"/>
    <cellStyle name="Pourcentage 7 65" xfId="3194"/>
    <cellStyle name="Pourcentage 7 66" xfId="3230"/>
    <cellStyle name="Pourcentage 7 67" xfId="3266"/>
    <cellStyle name="Pourcentage 7 68" xfId="3301"/>
    <cellStyle name="Pourcentage 7 69" xfId="3336"/>
    <cellStyle name="Pourcentage 7 7" xfId="311"/>
    <cellStyle name="Pourcentage 7 70" xfId="3367"/>
    <cellStyle name="Pourcentage 7 71" xfId="3398"/>
    <cellStyle name="Pourcentage 7 72" xfId="3426"/>
    <cellStyle name="Pourcentage 7 73" xfId="3453"/>
    <cellStyle name="Pourcentage 7 74" xfId="3479"/>
    <cellStyle name="Pourcentage 7 75" xfId="3651"/>
    <cellStyle name="Pourcentage 7 76" xfId="4092"/>
    <cellStyle name="Pourcentage 7 77" xfId="4023"/>
    <cellStyle name="Pourcentage 7 78" xfId="3688"/>
    <cellStyle name="Pourcentage 7 79" xfId="3846"/>
    <cellStyle name="Pourcentage 7 8" xfId="355"/>
    <cellStyle name="Pourcentage 7 80" xfId="3677"/>
    <cellStyle name="Pourcentage 7 81" xfId="4169"/>
    <cellStyle name="Pourcentage 7 82" xfId="4120"/>
    <cellStyle name="Pourcentage 7 83" xfId="3988"/>
    <cellStyle name="Pourcentage 7 9" xfId="399"/>
    <cellStyle name="Pourcentage 8" xfId="45"/>
    <cellStyle name="Pourcentage 8 10" xfId="444"/>
    <cellStyle name="Pourcentage 8 11" xfId="487"/>
    <cellStyle name="Pourcentage 8 12" xfId="531"/>
    <cellStyle name="Pourcentage 8 13" xfId="578"/>
    <cellStyle name="Pourcentage 8 14" xfId="622"/>
    <cellStyle name="Pourcentage 8 15" xfId="665"/>
    <cellStyle name="Pourcentage 8 16" xfId="707"/>
    <cellStyle name="Pourcentage 8 17" xfId="751"/>
    <cellStyle name="Pourcentage 8 18" xfId="808"/>
    <cellStyle name="Pourcentage 8 19" xfId="876"/>
    <cellStyle name="Pourcentage 8 2" xfId="92"/>
    <cellStyle name="Pourcentage 8 20" xfId="828"/>
    <cellStyle name="Pourcentage 8 21" xfId="952"/>
    <cellStyle name="Pourcentage 8 22" xfId="1545"/>
    <cellStyle name="Pourcentage 8 23" xfId="1204"/>
    <cellStyle name="Pourcentage 8 24" xfId="1610"/>
    <cellStyle name="Pourcentage 8 25" xfId="1659"/>
    <cellStyle name="Pourcentage 8 26" xfId="1708"/>
    <cellStyle name="Pourcentage 8 27" xfId="1757"/>
    <cellStyle name="Pourcentage 8 28" xfId="1806"/>
    <cellStyle name="Pourcentage 8 29" xfId="1855"/>
    <cellStyle name="Pourcentage 8 3" xfId="136"/>
    <cellStyle name="Pourcentage 8 30" xfId="1904"/>
    <cellStyle name="Pourcentage 8 31" xfId="1953"/>
    <cellStyle name="Pourcentage 8 32" xfId="2002"/>
    <cellStyle name="Pourcentage 8 33" xfId="2051"/>
    <cellStyle name="Pourcentage 8 34" xfId="2100"/>
    <cellStyle name="Pourcentage 8 35" xfId="2148"/>
    <cellStyle name="Pourcentage 8 36" xfId="2194"/>
    <cellStyle name="Pourcentage 8 37" xfId="2240"/>
    <cellStyle name="Pourcentage 8 38" xfId="2286"/>
    <cellStyle name="Pourcentage 8 39" xfId="2332"/>
    <cellStyle name="Pourcentage 8 4" xfId="180"/>
    <cellStyle name="Pourcentage 8 40" xfId="2378"/>
    <cellStyle name="Pourcentage 8 41" xfId="2424"/>
    <cellStyle name="Pourcentage 8 42" xfId="2470"/>
    <cellStyle name="Pourcentage 8 43" xfId="2516"/>
    <cellStyle name="Pourcentage 8 44" xfId="2560"/>
    <cellStyle name="Pourcentage 8 45" xfId="2604"/>
    <cellStyle name="Pourcentage 8 46" xfId="2647"/>
    <cellStyle name="Pourcentage 8 47" xfId="2690"/>
    <cellStyle name="Pourcentage 8 48" xfId="2733"/>
    <cellStyle name="Pourcentage 8 49" xfId="2776"/>
    <cellStyle name="Pourcentage 8 5" xfId="224"/>
    <cellStyle name="Pourcentage 8 50" xfId="2818"/>
    <cellStyle name="Pourcentage 8 51" xfId="2859"/>
    <cellStyle name="Pourcentage 8 52" xfId="2900"/>
    <cellStyle name="Pourcentage 8 53" xfId="2940"/>
    <cellStyle name="Pourcentage 8 54" xfId="2980"/>
    <cellStyle name="Pourcentage 8 55" xfId="3020"/>
    <cellStyle name="Pourcentage 8 56" xfId="3059"/>
    <cellStyle name="Pourcentage 8 57" xfId="3097"/>
    <cellStyle name="Pourcentage 8 58" xfId="3135"/>
    <cellStyle name="Pourcentage 8 59" xfId="3172"/>
    <cellStyle name="Pourcentage 8 6" xfId="268"/>
    <cellStyle name="Pourcentage 8 60" xfId="3208"/>
    <cellStyle name="Pourcentage 8 61" xfId="3244"/>
    <cellStyle name="Pourcentage 8 62" xfId="3279"/>
    <cellStyle name="Pourcentage 8 63" xfId="3314"/>
    <cellStyle name="Pourcentage 8 64" xfId="3348"/>
    <cellStyle name="Pourcentage 8 65" xfId="3379"/>
    <cellStyle name="Pourcentage 8 66" xfId="3409"/>
    <cellStyle name="Pourcentage 8 67" xfId="3437"/>
    <cellStyle name="Pourcentage 8 68" xfId="3463"/>
    <cellStyle name="Pourcentage 8 69" xfId="3489"/>
    <cellStyle name="Pourcentage 8 7" xfId="312"/>
    <cellStyle name="Pourcentage 8 70" xfId="3513"/>
    <cellStyle name="Pourcentage 8 71" xfId="3535"/>
    <cellStyle name="Pourcentage 8 72" xfId="3551"/>
    <cellStyle name="Pourcentage 8 73" xfId="3567"/>
    <cellStyle name="Pourcentage 8 74" xfId="3579"/>
    <cellStyle name="Pourcentage 8 75" xfId="3652"/>
    <cellStyle name="Pourcentage 8 76" xfId="3682"/>
    <cellStyle name="Pourcentage 8 77" xfId="3983"/>
    <cellStyle name="Pourcentage 8 78" xfId="3995"/>
    <cellStyle name="Pourcentage 8 79" xfId="3953"/>
    <cellStyle name="Pourcentage 8 8" xfId="356"/>
    <cellStyle name="Pourcentage 8 80" xfId="3689"/>
    <cellStyle name="Pourcentage 8 81" xfId="3781"/>
    <cellStyle name="Pourcentage 8 82" xfId="4263"/>
    <cellStyle name="Pourcentage 8 83" xfId="4302"/>
    <cellStyle name="Pourcentage 8 9" xfId="400"/>
    <cellStyle name="Pourcentage 9" xfId="46"/>
    <cellStyle name="Pourcentage 9 10" xfId="445"/>
    <cellStyle name="Pourcentage 9 11" xfId="488"/>
    <cellStyle name="Pourcentage 9 12" xfId="532"/>
    <cellStyle name="Pourcentage 9 13" xfId="579"/>
    <cellStyle name="Pourcentage 9 14" xfId="623"/>
    <cellStyle name="Pourcentage 9 15" xfId="666"/>
    <cellStyle name="Pourcentage 9 16" xfId="708"/>
    <cellStyle name="Pourcentage 9 17" xfId="752"/>
    <cellStyle name="Pourcentage 9 18" xfId="809"/>
    <cellStyle name="Pourcentage 9 19" xfId="869"/>
    <cellStyle name="Pourcentage 9 2" xfId="93"/>
    <cellStyle name="Pourcentage 9 20" xfId="885"/>
    <cellStyle name="Pourcentage 9 21" xfId="953"/>
    <cellStyle name="Pourcentage 9 22" xfId="1505"/>
    <cellStyle name="Pourcentage 9 23" xfId="1550"/>
    <cellStyle name="Pourcentage 9 24" xfId="1064"/>
    <cellStyle name="Pourcentage 9 25" xfId="1308"/>
    <cellStyle name="Pourcentage 9 26" xfId="1138"/>
    <cellStyle name="Pourcentage 9 27" xfId="959"/>
    <cellStyle name="Pourcentage 9 28" xfId="1274"/>
    <cellStyle name="Pourcentage 9 29" xfId="1255"/>
    <cellStyle name="Pourcentage 9 3" xfId="137"/>
    <cellStyle name="Pourcentage 9 30" xfId="1375"/>
    <cellStyle name="Pourcentage 9 31" xfId="1441"/>
    <cellStyle name="Pourcentage 9 32" xfId="1327"/>
    <cellStyle name="Pourcentage 9 33" xfId="975"/>
    <cellStyle name="Pourcentage 9 34" xfId="1273"/>
    <cellStyle name="Pourcentage 9 35" xfId="1296"/>
    <cellStyle name="Pourcentage 9 36" xfId="1073"/>
    <cellStyle name="Pourcentage 9 37" xfId="1574"/>
    <cellStyle name="Pourcentage 9 38" xfId="1121"/>
    <cellStyle name="Pourcentage 9 39" xfId="1456"/>
    <cellStyle name="Pourcentage 9 4" xfId="181"/>
    <cellStyle name="Pourcentage 9 40" xfId="968"/>
    <cellStyle name="Pourcentage 9 41" xfId="1544"/>
    <cellStyle name="Pourcentage 9 42" xfId="1239"/>
    <cellStyle name="Pourcentage 9 43" xfId="1412"/>
    <cellStyle name="Pourcentage 9 44" xfId="969"/>
    <cellStyle name="Pourcentage 9 45" xfId="1504"/>
    <cellStyle name="Pourcentage 9 46" xfId="1590"/>
    <cellStyle name="Pourcentage 9 47" xfId="1639"/>
    <cellStyle name="Pourcentage 9 48" xfId="1688"/>
    <cellStyle name="Pourcentage 9 49" xfId="1737"/>
    <cellStyle name="Pourcentage 9 5" xfId="225"/>
    <cellStyle name="Pourcentage 9 50" xfId="1786"/>
    <cellStyle name="Pourcentage 9 51" xfId="1835"/>
    <cellStyle name="Pourcentage 9 52" xfId="1884"/>
    <cellStyle name="Pourcentage 9 53" xfId="1933"/>
    <cellStyle name="Pourcentage 9 54" xfId="1982"/>
    <cellStyle name="Pourcentage 9 55" xfId="2031"/>
    <cellStyle name="Pourcentage 9 56" xfId="2080"/>
    <cellStyle name="Pourcentage 9 57" xfId="2128"/>
    <cellStyle name="Pourcentage 9 58" xfId="2175"/>
    <cellStyle name="Pourcentage 9 59" xfId="2221"/>
    <cellStyle name="Pourcentage 9 6" xfId="269"/>
    <cellStyle name="Pourcentage 9 60" xfId="2267"/>
    <cellStyle name="Pourcentage 9 61" xfId="2313"/>
    <cellStyle name="Pourcentage 9 62" xfId="2359"/>
    <cellStyle name="Pourcentage 9 63" xfId="2405"/>
    <cellStyle name="Pourcentage 9 64" xfId="2451"/>
    <cellStyle name="Pourcentage 9 65" xfId="2497"/>
    <cellStyle name="Pourcentage 9 66" xfId="2542"/>
    <cellStyle name="Pourcentage 9 67" xfId="2586"/>
    <cellStyle name="Pourcentage 9 68" xfId="2630"/>
    <cellStyle name="Pourcentage 9 69" xfId="2673"/>
    <cellStyle name="Pourcentage 9 7" xfId="313"/>
    <cellStyle name="Pourcentage 9 70" xfId="2716"/>
    <cellStyle name="Pourcentage 9 71" xfId="2759"/>
    <cellStyle name="Pourcentage 9 72" xfId="2801"/>
    <cellStyle name="Pourcentage 9 73" xfId="2842"/>
    <cellStyle name="Pourcentage 9 74" xfId="2883"/>
    <cellStyle name="Pourcentage 9 75" xfId="3653"/>
    <cellStyle name="Pourcentage 9 76" xfId="4031"/>
    <cellStyle name="Pourcentage 9 77" xfId="3691"/>
    <cellStyle name="Pourcentage 9 78" xfId="3720"/>
    <cellStyle name="Pourcentage 9 79" xfId="4042"/>
    <cellStyle name="Pourcentage 9 8" xfId="357"/>
    <cellStyle name="Pourcentage 9 80" xfId="3918"/>
    <cellStyle name="Pourcentage 9 81" xfId="3712"/>
    <cellStyle name="Pourcentage 9 82" xfId="4052"/>
    <cellStyle name="Pourcentage 9 83" xfId="4122"/>
    <cellStyle name="Pourcentage 9 9" xfId="401"/>
  </cellStyles>
  <dxfs count="540"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</dxfs>
  <tableStyles count="0" defaultTableStyle="TableStyleMedium9" defaultPivotStyle="PivotStyleLight16"/>
  <colors>
    <mruColors>
      <color rgb="FFFFCC00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Ebit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'Secteur Robinetterie'!$F$387</c:f>
              <c:strCache>
                <c:ptCount val="1"/>
                <c:pt idx="0">
                  <c:v>2021</c:v>
                </c:pt>
              </c:strCache>
            </c:strRef>
          </c:tx>
          <c:spPr>
            <a:ln w="57150">
              <a:solidFill>
                <a:schemeClr val="bg2">
                  <a:lumMod val="50000"/>
                </a:schemeClr>
              </a:solidFill>
            </a:ln>
          </c:spPr>
          <c:marker>
            <c:spPr>
              <a:solidFill>
                <a:schemeClr val="bg2">
                  <a:lumMod val="50000"/>
                </a:schemeClr>
              </a:solidFill>
              <a:ln>
                <a:solidFill>
                  <a:srgbClr val="EEECE1">
                    <a:lumMod val="50000"/>
                  </a:srgbClr>
                </a:solidFill>
              </a:ln>
            </c:spPr>
          </c:marker>
          <c:cat>
            <c:strRef>
              <c:f>'Secteur Robinetterie'!$M$384:$X$384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Robinetterie'!$M$387:$X$387</c:f>
              <c:numCache>
                <c:formatCode>#,##0</c:formatCode>
                <c:ptCount val="12"/>
                <c:pt idx="0">
                  <c:v>-6.6377499999997802</c:v>
                </c:pt>
                <c:pt idx="1">
                  <c:v>229.55591000000101</c:v>
                </c:pt>
                <c:pt idx="2">
                  <c:v>402.60914000000099</c:v>
                </c:pt>
                <c:pt idx="3">
                  <c:v>713.77435000000105</c:v>
                </c:pt>
                <c:pt idx="4">
                  <c:v>1272.9106400000001</c:v>
                </c:pt>
                <c:pt idx="5">
                  <c:v>1599.13732</c:v>
                </c:pt>
                <c:pt idx="6">
                  <c:v>2164.7347100000002</c:v>
                </c:pt>
                <c:pt idx="7">
                  <c:v>3053.5558000000001</c:v>
                </c:pt>
                <c:pt idx="8">
                  <c:v>3453.3947400000002</c:v>
                </c:pt>
                <c:pt idx="9">
                  <c:v>3810.9470000000001</c:v>
                </c:pt>
                <c:pt idx="10">
                  <c:v>4325.95</c:v>
                </c:pt>
                <c:pt idx="11">
                  <c:v>4727.8189999999904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C-4765-AD0A-5598E69EE977}"/>
            </c:ext>
          </c:extLst>
        </c:ser>
        <c:ser>
          <c:idx val="1"/>
          <c:order val="1"/>
          <c:tx>
            <c:strRef>
              <c:f>'Secteur Robinetterie'!$F$388</c:f>
              <c:strCache>
                <c:ptCount val="1"/>
                <c:pt idx="0">
                  <c:v>2022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'Secteur Robinetterie'!$M$384:$X$384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Robinetterie'!$M$388:$X$388</c:f>
              <c:numCache>
                <c:formatCode>#,##0</c:formatCode>
                <c:ptCount val="12"/>
                <c:pt idx="0">
                  <c:v>263.74700000000001</c:v>
                </c:pt>
                <c:pt idx="1">
                  <c:v>595.23800000000097</c:v>
                </c:pt>
                <c:pt idx="2">
                  <c:v>865.09200000000101</c:v>
                </c:pt>
                <c:pt idx="3">
                  <c:v>1182.481</c:v>
                </c:pt>
                <c:pt idx="4">
                  <c:v>1793.319</c:v>
                </c:pt>
                <c:pt idx="5">
                  <c:v>2288.6509999999998</c:v>
                </c:pt>
                <c:pt idx="6">
                  <c:v>2720.7330000000002</c:v>
                </c:pt>
                <c:pt idx="7">
                  <c:v>3525.86</c:v>
                </c:pt>
                <c:pt idx="8">
                  <c:v>3935.46245</c:v>
                </c:pt>
                <c:pt idx="9">
                  <c:v>4272.2740000000003</c:v>
                </c:pt>
                <c:pt idx="10">
                  <c:v>4722.0810000000001</c:v>
                </c:pt>
                <c:pt idx="11">
                  <c:v>5438.6440000000002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AC-4765-AD0A-5598E69EE977}"/>
            </c:ext>
          </c:extLst>
        </c:ser>
        <c:ser>
          <c:idx val="2"/>
          <c:order val="2"/>
          <c:tx>
            <c:strRef>
              <c:f>'Secteur Robinetterie'!$F$389</c:f>
              <c:strCache>
                <c:ptCount val="1"/>
                <c:pt idx="0">
                  <c:v>ACTU 2023</c:v>
                </c:pt>
              </c:strCache>
            </c:strRef>
          </c:tx>
          <c:spPr>
            <a:ln w="57150">
              <a:solidFill>
                <a:srgbClr val="C00000"/>
              </a:solidFill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'Secteur Robinetterie'!$M$384:$X$384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Robinetterie'!$M$389:$X$389</c:f>
              <c:numCache>
                <c:formatCode>#,##0</c:formatCode>
                <c:ptCount val="12"/>
                <c:pt idx="0">
                  <c:v>449.26288416666654</c:v>
                </c:pt>
                <c:pt idx="1">
                  <c:v>898.52576833333308</c:v>
                </c:pt>
                <c:pt idx="2">
                  <c:v>1347.7886524999997</c:v>
                </c:pt>
                <c:pt idx="3">
                  <c:v>1797.0515366666662</c:v>
                </c:pt>
                <c:pt idx="4">
                  <c:v>2246.3144208333329</c:v>
                </c:pt>
                <c:pt idx="5">
                  <c:v>2695.5773049999993</c:v>
                </c:pt>
                <c:pt idx="6">
                  <c:v>3144.8401891666658</c:v>
                </c:pt>
                <c:pt idx="7">
                  <c:v>3594.1030733333323</c:v>
                </c:pt>
                <c:pt idx="8">
                  <c:v>4043.3659574999988</c:v>
                </c:pt>
                <c:pt idx="9">
                  <c:v>4492.6288416666657</c:v>
                </c:pt>
                <c:pt idx="10">
                  <c:v>4941.8917258333322</c:v>
                </c:pt>
                <c:pt idx="11">
                  <c:v>5391.1546099999987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AC-4765-AD0A-5598E69EE977}"/>
            </c:ext>
          </c:extLst>
        </c:ser>
        <c:ser>
          <c:idx val="3"/>
          <c:order val="3"/>
          <c:tx>
            <c:strRef>
              <c:f>'Secteur Robinetterie'!$F$390</c:f>
              <c:strCache>
                <c:ptCount val="1"/>
                <c:pt idx="0">
                  <c:v>2023</c:v>
                </c:pt>
              </c:strCache>
            </c:strRef>
          </c:tx>
          <c:spPr>
            <a:ln w="57150"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strRef>
              <c:f>'Secteur Robinetterie'!$M$384:$X$384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Robinetterie'!$M$390:$X$390</c:f>
              <c:numCache>
                <c:formatCode>#,##0</c:formatCode>
                <c:ptCount val="12"/>
                <c:pt idx="0">
                  <c:v>242.52600000000001</c:v>
                </c:pt>
                <c:pt idx="1">
                  <c:v>462.80900000000003</c:v>
                </c:pt>
                <c:pt idx="2">
                  <c:v>698.55899999999997</c:v>
                </c:pt>
                <c:pt idx="3">
                  <c:v>1269.788</c:v>
                </c:pt>
                <c:pt idx="4">
                  <c:v>2095.5169999999998</c:v>
                </c:pt>
                <c:pt idx="5">
                  <c:v>2579.3609999999999</c:v>
                </c:pt>
                <c:pt idx="6">
                  <c:v>3088.596</c:v>
                </c:pt>
                <c:pt idx="7">
                  <c:v>3746.7379999999998</c:v>
                </c:pt>
                <c:pt idx="8">
                  <c:v>4167.8399999999901</c:v>
                </c:pt>
                <c:pt idx="9">
                  <c:v>4633.1369999999997</c:v>
                </c:pt>
                <c:pt idx="10">
                  <c:v>5098.6819999999998</c:v>
                </c:pt>
                <c:pt idx="11">
                  <c:v>5639.7879999999996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AC-4765-AD0A-5598E69EE977}"/>
            </c:ext>
          </c:extLst>
        </c:ser>
        <c:ser>
          <c:idx val="4"/>
          <c:order val="4"/>
          <c:tx>
            <c:strRef>
              <c:f>'Secteur Robinetterie'!$F$391</c:f>
              <c:strCache>
                <c:ptCount val="1"/>
                <c:pt idx="0">
                  <c:v>Reste à faire - ACTU 2023</c:v>
                </c:pt>
              </c:strCache>
            </c:strRef>
          </c:tx>
          <c:spPr>
            <a:ln w="57150">
              <a:solidFill>
                <a:srgbClr val="00B050"/>
              </a:solidFill>
              <a:prstDash val="dash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'Secteur Robinetterie'!$M$384:$X$384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Robinetterie'!$M$391:$X$391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5639.7879999999996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AC-4765-AD0A-5598E69EE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2800"/>
        <c:axId val="199375104"/>
      </c:lineChart>
      <c:catAx>
        <c:axId val="199372800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199375104"/>
        <c:crosses val="autoZero"/>
        <c:auto val="1"/>
        <c:lblAlgn val="ctr"/>
        <c:lblOffset val="100"/>
        <c:noMultiLvlLbl val="0"/>
      </c:catAx>
      <c:valAx>
        <c:axId val="19937510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K€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19937280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100" baseline="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Ebit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'Secteur Rob.Public'!$F$387</c:f>
              <c:strCache>
                <c:ptCount val="1"/>
                <c:pt idx="0">
                  <c:v>2021</c:v>
                </c:pt>
              </c:strCache>
            </c:strRef>
          </c:tx>
          <c:spPr>
            <a:ln w="57150">
              <a:solidFill>
                <a:schemeClr val="bg2">
                  <a:lumMod val="50000"/>
                </a:schemeClr>
              </a:solidFill>
            </a:ln>
          </c:spPr>
          <c:marker>
            <c:spPr>
              <a:solidFill>
                <a:schemeClr val="bg2">
                  <a:lumMod val="50000"/>
                </a:schemeClr>
              </a:solidFill>
              <a:ln>
                <a:solidFill>
                  <a:srgbClr val="EEECE1">
                    <a:lumMod val="50000"/>
                  </a:srgbClr>
                </a:solidFill>
              </a:ln>
            </c:spPr>
          </c:marker>
          <c:cat>
            <c:strRef>
              <c:f>'Secteur Rob.Public'!$M$384:$X$384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Rob.Public'!$M$387:$X$387</c:f>
              <c:numCache>
                <c:formatCode>#,##0</c:formatCode>
                <c:ptCount val="12"/>
                <c:pt idx="0">
                  <c:v>22.778189999999899</c:v>
                </c:pt>
                <c:pt idx="1">
                  <c:v>207.0291</c:v>
                </c:pt>
                <c:pt idx="2">
                  <c:v>368.67455000000001</c:v>
                </c:pt>
                <c:pt idx="3">
                  <c:v>611.54370999999901</c:v>
                </c:pt>
                <c:pt idx="4">
                  <c:v>1028.7379699999999</c:v>
                </c:pt>
                <c:pt idx="5">
                  <c:v>1280.94129</c:v>
                </c:pt>
                <c:pt idx="6">
                  <c:v>1734.24136</c:v>
                </c:pt>
                <c:pt idx="7">
                  <c:v>2481.2614600000002</c:v>
                </c:pt>
                <c:pt idx="8">
                  <c:v>2809.0047500000001</c:v>
                </c:pt>
                <c:pt idx="9">
                  <c:v>3082.7190000000001</c:v>
                </c:pt>
                <c:pt idx="10">
                  <c:v>3543.5230000000001</c:v>
                </c:pt>
                <c:pt idx="11">
                  <c:v>3819.2640000000001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6-42C0-AEE4-8D64CD9BD438}"/>
            </c:ext>
          </c:extLst>
        </c:ser>
        <c:ser>
          <c:idx val="1"/>
          <c:order val="1"/>
          <c:tx>
            <c:strRef>
              <c:f>'Secteur Rob.Public'!$F$388</c:f>
              <c:strCache>
                <c:ptCount val="1"/>
                <c:pt idx="0">
                  <c:v>2022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'Secteur Rob.Public'!$M$384:$X$384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Rob.Public'!$M$388:$X$388</c:f>
              <c:numCache>
                <c:formatCode>#,##0</c:formatCode>
                <c:ptCount val="12"/>
                <c:pt idx="0">
                  <c:v>176.05199999999999</c:v>
                </c:pt>
                <c:pt idx="1">
                  <c:v>369.65400000000102</c:v>
                </c:pt>
                <c:pt idx="2">
                  <c:v>591.16800000000001</c:v>
                </c:pt>
                <c:pt idx="3">
                  <c:v>855.64700000000005</c:v>
                </c:pt>
                <c:pt idx="4">
                  <c:v>1342.3309999999999</c:v>
                </c:pt>
                <c:pt idx="5">
                  <c:v>1678.348</c:v>
                </c:pt>
                <c:pt idx="6">
                  <c:v>2041.4349999999999</c:v>
                </c:pt>
                <c:pt idx="7">
                  <c:v>2639.0230000000001</c:v>
                </c:pt>
                <c:pt idx="8">
                  <c:v>2917.9940900000001</c:v>
                </c:pt>
                <c:pt idx="9">
                  <c:v>3167.5279999999998</c:v>
                </c:pt>
                <c:pt idx="10">
                  <c:v>3426.2280000000001</c:v>
                </c:pt>
                <c:pt idx="11">
                  <c:v>3868.1860000000001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6-42C0-AEE4-8D64CD9BD438}"/>
            </c:ext>
          </c:extLst>
        </c:ser>
        <c:ser>
          <c:idx val="2"/>
          <c:order val="2"/>
          <c:tx>
            <c:strRef>
              <c:f>'Secteur Rob.Public'!$F$389</c:f>
              <c:strCache>
                <c:ptCount val="1"/>
                <c:pt idx="0">
                  <c:v>ACTU 2023</c:v>
                </c:pt>
              </c:strCache>
            </c:strRef>
          </c:tx>
          <c:spPr>
            <a:ln w="57150">
              <a:solidFill>
                <a:srgbClr val="C00000"/>
              </a:solidFill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'Secteur Rob.Public'!$M$384:$X$384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Rob.Public'!$M$389:$X$389</c:f>
              <c:numCache>
                <c:formatCode>#,##0</c:formatCode>
                <c:ptCount val="12"/>
                <c:pt idx="0">
                  <c:v>337.83929166666655</c:v>
                </c:pt>
                <c:pt idx="1">
                  <c:v>675.67858333333311</c:v>
                </c:pt>
                <c:pt idx="2">
                  <c:v>1013.5178749999997</c:v>
                </c:pt>
                <c:pt idx="3">
                  <c:v>1351.3571666666662</c:v>
                </c:pt>
                <c:pt idx="4">
                  <c:v>1689.1964583333329</c:v>
                </c:pt>
                <c:pt idx="5">
                  <c:v>2027.0357499999993</c:v>
                </c:pt>
                <c:pt idx="6">
                  <c:v>2364.8750416666658</c:v>
                </c:pt>
                <c:pt idx="7">
                  <c:v>2702.7143333333324</c:v>
                </c:pt>
                <c:pt idx="8">
                  <c:v>3040.5536249999991</c:v>
                </c:pt>
                <c:pt idx="9">
                  <c:v>3378.3929166666658</c:v>
                </c:pt>
                <c:pt idx="10">
                  <c:v>3716.2322083333324</c:v>
                </c:pt>
                <c:pt idx="11">
                  <c:v>4054.0714999999987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E6-42C0-AEE4-8D64CD9BD438}"/>
            </c:ext>
          </c:extLst>
        </c:ser>
        <c:ser>
          <c:idx val="3"/>
          <c:order val="3"/>
          <c:tx>
            <c:strRef>
              <c:f>'Secteur Rob.Public'!$F$390</c:f>
              <c:strCache>
                <c:ptCount val="1"/>
                <c:pt idx="0">
                  <c:v>2023</c:v>
                </c:pt>
              </c:strCache>
            </c:strRef>
          </c:tx>
          <c:spPr>
            <a:ln w="57150"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strRef>
              <c:f>'Secteur Rob.Public'!$M$384:$X$384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Rob.Public'!$M$390:$X$390</c:f>
              <c:numCache>
                <c:formatCode>#,##0</c:formatCode>
                <c:ptCount val="12"/>
                <c:pt idx="0">
                  <c:v>170.87</c:v>
                </c:pt>
                <c:pt idx="1">
                  <c:v>307.50599999999997</c:v>
                </c:pt>
                <c:pt idx="2">
                  <c:v>457.28099999999898</c:v>
                </c:pt>
                <c:pt idx="3">
                  <c:v>850.43499999999904</c:v>
                </c:pt>
                <c:pt idx="4">
                  <c:v>1515.8119999999999</c:v>
                </c:pt>
                <c:pt idx="5">
                  <c:v>1865.7860000000001</c:v>
                </c:pt>
                <c:pt idx="6">
                  <c:v>2310.2440000000001</c:v>
                </c:pt>
                <c:pt idx="7">
                  <c:v>2799.3919999999998</c:v>
                </c:pt>
                <c:pt idx="8">
                  <c:v>3094.55</c:v>
                </c:pt>
                <c:pt idx="9">
                  <c:v>3439.0549999999998</c:v>
                </c:pt>
                <c:pt idx="10">
                  <c:v>3739.4389999999999</c:v>
                </c:pt>
                <c:pt idx="11">
                  <c:v>4130.5860000000002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E6-42C0-AEE4-8D64CD9BD438}"/>
            </c:ext>
          </c:extLst>
        </c:ser>
        <c:ser>
          <c:idx val="4"/>
          <c:order val="4"/>
          <c:tx>
            <c:strRef>
              <c:f>'Secteur Rob.Public'!$F$391</c:f>
              <c:strCache>
                <c:ptCount val="1"/>
                <c:pt idx="0">
                  <c:v>Reste à faire - ACTU 2023</c:v>
                </c:pt>
              </c:strCache>
            </c:strRef>
          </c:tx>
          <c:spPr>
            <a:ln w="57150">
              <a:solidFill>
                <a:srgbClr val="00B050"/>
              </a:solidFill>
              <a:prstDash val="dash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'Secteur Rob.Public'!$M$384:$X$384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Rob.Public'!$M$391:$X$391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4130.5860000000002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E6-42C0-AEE4-8D64CD9B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680960"/>
        <c:axId val="256509824"/>
      </c:lineChart>
      <c:catAx>
        <c:axId val="246680960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56509824"/>
        <c:crosses val="autoZero"/>
        <c:auto val="1"/>
        <c:lblAlgn val="ctr"/>
        <c:lblOffset val="100"/>
        <c:noMultiLvlLbl val="0"/>
      </c:catAx>
      <c:valAx>
        <c:axId val="25650982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K€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4668096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100" baseline="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Ebit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Bonneuil!$F$387</c:f>
              <c:strCache>
                <c:ptCount val="1"/>
                <c:pt idx="0">
                  <c:v>2021</c:v>
                </c:pt>
              </c:strCache>
            </c:strRef>
          </c:tx>
          <c:spPr>
            <a:ln w="57150">
              <a:solidFill>
                <a:schemeClr val="bg2">
                  <a:lumMod val="50000"/>
                </a:schemeClr>
              </a:solidFill>
            </a:ln>
          </c:spPr>
          <c:marker>
            <c:spPr>
              <a:solidFill>
                <a:schemeClr val="bg2">
                  <a:lumMod val="50000"/>
                </a:schemeClr>
              </a:solidFill>
              <a:ln>
                <a:solidFill>
                  <a:srgbClr val="EEECE1">
                    <a:lumMod val="50000"/>
                  </a:srgbClr>
                </a:solidFill>
              </a:ln>
            </c:spPr>
          </c:marker>
          <c:cat>
            <c:strRef>
              <c:f>Bonneuil!$M$384:$X$384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Bonneuil!$M$387:$X$387</c:f>
              <c:numCache>
                <c:formatCode>#,##0</c:formatCode>
                <c:ptCount val="12"/>
                <c:pt idx="0">
                  <c:v>54.329059999999998</c:v>
                </c:pt>
                <c:pt idx="1">
                  <c:v>141.00147000000001</c:v>
                </c:pt>
                <c:pt idx="2">
                  <c:v>234.35189</c:v>
                </c:pt>
                <c:pt idx="3">
                  <c:v>352.35615999999999</c:v>
                </c:pt>
                <c:pt idx="4">
                  <c:v>536.69295999999997</c:v>
                </c:pt>
                <c:pt idx="5">
                  <c:v>657.24779999999998</c:v>
                </c:pt>
                <c:pt idx="6">
                  <c:v>853.66790000000003</c:v>
                </c:pt>
                <c:pt idx="7">
                  <c:v>1124.31087</c:v>
                </c:pt>
                <c:pt idx="8">
                  <c:v>1276.86196</c:v>
                </c:pt>
                <c:pt idx="9">
                  <c:v>1402.9110000000001</c:v>
                </c:pt>
                <c:pt idx="10">
                  <c:v>1490.9459999999999</c:v>
                </c:pt>
                <c:pt idx="11">
                  <c:v>1613.347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86-4B05-A7F8-EEEED5D8C8D1}"/>
            </c:ext>
          </c:extLst>
        </c:ser>
        <c:ser>
          <c:idx val="1"/>
          <c:order val="1"/>
          <c:tx>
            <c:strRef>
              <c:f>Bonneuil!$F$388</c:f>
              <c:strCache>
                <c:ptCount val="1"/>
                <c:pt idx="0">
                  <c:v>2022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Bonneuil!$M$384:$X$384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Bonneuil!$M$388:$X$388</c:f>
              <c:numCache>
                <c:formatCode>#,##0</c:formatCode>
                <c:ptCount val="12"/>
                <c:pt idx="0">
                  <c:v>36.972999999999999</c:v>
                </c:pt>
                <c:pt idx="1">
                  <c:v>128.47499999999999</c:v>
                </c:pt>
                <c:pt idx="2">
                  <c:v>233.12</c:v>
                </c:pt>
                <c:pt idx="3">
                  <c:v>372.26100000000002</c:v>
                </c:pt>
                <c:pt idx="4">
                  <c:v>618.65599999999995</c:v>
                </c:pt>
                <c:pt idx="5">
                  <c:v>795.32299999999998</c:v>
                </c:pt>
                <c:pt idx="6">
                  <c:v>979.20600000000104</c:v>
                </c:pt>
                <c:pt idx="7">
                  <c:v>1260.377</c:v>
                </c:pt>
                <c:pt idx="8">
                  <c:v>1438.58925</c:v>
                </c:pt>
                <c:pt idx="9">
                  <c:v>1583.2190000000001</c:v>
                </c:pt>
                <c:pt idx="10">
                  <c:v>1696.222</c:v>
                </c:pt>
                <c:pt idx="11">
                  <c:v>1860.7919999999999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86-4B05-A7F8-EEEED5D8C8D1}"/>
            </c:ext>
          </c:extLst>
        </c:ser>
        <c:ser>
          <c:idx val="2"/>
          <c:order val="2"/>
          <c:tx>
            <c:strRef>
              <c:f>Bonneuil!$F$389</c:f>
              <c:strCache>
                <c:ptCount val="1"/>
                <c:pt idx="0">
                  <c:v>ACTU 2023</c:v>
                </c:pt>
              </c:strCache>
            </c:strRef>
          </c:tx>
          <c:spPr>
            <a:ln w="57150">
              <a:solidFill>
                <a:srgbClr val="C00000"/>
              </a:solidFill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Bonneuil!$N$384:$X$384</c:f>
              <c:strCache>
                <c:ptCount val="11"/>
                <c:pt idx="0">
                  <c:v>Fév.</c:v>
                </c:pt>
                <c:pt idx="1">
                  <c:v>Mars</c:v>
                </c:pt>
                <c:pt idx="2">
                  <c:v>Avril</c:v>
                </c:pt>
                <c:pt idx="3">
                  <c:v>Mai</c:v>
                </c:pt>
                <c:pt idx="4">
                  <c:v>Juin</c:v>
                </c:pt>
                <c:pt idx="5">
                  <c:v>Juil.</c:v>
                </c:pt>
                <c:pt idx="6">
                  <c:v>Aôut</c:v>
                </c:pt>
                <c:pt idx="7">
                  <c:v>Sept.</c:v>
                </c:pt>
                <c:pt idx="8">
                  <c:v>Oct.</c:v>
                </c:pt>
                <c:pt idx="9">
                  <c:v>Nov.</c:v>
                </c:pt>
                <c:pt idx="10">
                  <c:v>Déc.</c:v>
                </c:pt>
              </c:strCache>
            </c:strRef>
          </c:cat>
          <c:val>
            <c:numRef>
              <c:f>Bonneuil!$M$389:$X$389</c:f>
              <c:numCache>
                <c:formatCode>#,##0</c:formatCode>
                <c:ptCount val="12"/>
                <c:pt idx="0">
                  <c:v>137.45284333333342</c:v>
                </c:pt>
                <c:pt idx="1">
                  <c:v>274.90568666666684</c:v>
                </c:pt>
                <c:pt idx="2">
                  <c:v>412.35853000000026</c:v>
                </c:pt>
                <c:pt idx="3">
                  <c:v>549.81137333333368</c:v>
                </c:pt>
                <c:pt idx="4">
                  <c:v>687.26421666666704</c:v>
                </c:pt>
                <c:pt idx="5">
                  <c:v>824.71706000000052</c:v>
                </c:pt>
                <c:pt idx="6">
                  <c:v>962.16990333333388</c:v>
                </c:pt>
                <c:pt idx="7">
                  <c:v>1099.6227466666674</c:v>
                </c:pt>
                <c:pt idx="8">
                  <c:v>1237.0755900000008</c:v>
                </c:pt>
                <c:pt idx="9">
                  <c:v>1374.5284333333341</c:v>
                </c:pt>
                <c:pt idx="10">
                  <c:v>1511.9812766666676</c:v>
                </c:pt>
                <c:pt idx="11">
                  <c:v>1649.434120000001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86-4B05-A7F8-EEEED5D8C8D1}"/>
            </c:ext>
          </c:extLst>
        </c:ser>
        <c:ser>
          <c:idx val="3"/>
          <c:order val="3"/>
          <c:tx>
            <c:strRef>
              <c:f>Bonneuil!$F$390</c:f>
              <c:strCache>
                <c:ptCount val="1"/>
                <c:pt idx="0">
                  <c:v>2023</c:v>
                </c:pt>
              </c:strCache>
            </c:strRef>
          </c:tx>
          <c:spPr>
            <a:ln w="57150"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strRef>
              <c:f>Bonneuil!$N$384:$X$384</c:f>
              <c:strCache>
                <c:ptCount val="11"/>
                <c:pt idx="0">
                  <c:v>Fév.</c:v>
                </c:pt>
                <c:pt idx="1">
                  <c:v>Mars</c:v>
                </c:pt>
                <c:pt idx="2">
                  <c:v>Avril</c:v>
                </c:pt>
                <c:pt idx="3">
                  <c:v>Mai</c:v>
                </c:pt>
                <c:pt idx="4">
                  <c:v>Juin</c:v>
                </c:pt>
                <c:pt idx="5">
                  <c:v>Juil.</c:v>
                </c:pt>
                <c:pt idx="6">
                  <c:v>Aôut</c:v>
                </c:pt>
                <c:pt idx="7">
                  <c:v>Sept.</c:v>
                </c:pt>
                <c:pt idx="8">
                  <c:v>Oct.</c:v>
                </c:pt>
                <c:pt idx="9">
                  <c:v>Nov.</c:v>
                </c:pt>
                <c:pt idx="10">
                  <c:v>Déc.</c:v>
                </c:pt>
              </c:strCache>
            </c:strRef>
          </c:cat>
          <c:val>
            <c:numRef>
              <c:f>Bonneuil!$M$390:$X$390</c:f>
              <c:numCache>
                <c:formatCode>#,##0</c:formatCode>
                <c:ptCount val="12"/>
                <c:pt idx="0">
                  <c:v>140.64099999999999</c:v>
                </c:pt>
                <c:pt idx="1">
                  <c:v>214.24100000000001</c:v>
                </c:pt>
                <c:pt idx="2">
                  <c:v>263.98899999999998</c:v>
                </c:pt>
                <c:pt idx="3">
                  <c:v>420.66500000000002</c:v>
                </c:pt>
                <c:pt idx="4">
                  <c:v>628.20699999999999</c:v>
                </c:pt>
                <c:pt idx="5">
                  <c:v>788.02599999999995</c:v>
                </c:pt>
                <c:pt idx="6">
                  <c:v>974.15099999999995</c:v>
                </c:pt>
                <c:pt idx="7">
                  <c:v>1166.7360000000001</c:v>
                </c:pt>
                <c:pt idx="8">
                  <c:v>1316.797</c:v>
                </c:pt>
                <c:pt idx="9">
                  <c:v>1429.3430000000001</c:v>
                </c:pt>
                <c:pt idx="10">
                  <c:v>1573.0519999999999</c:v>
                </c:pt>
                <c:pt idx="11">
                  <c:v>1762.1279999999999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86-4B05-A7F8-EEEED5D8C8D1}"/>
            </c:ext>
          </c:extLst>
        </c:ser>
        <c:ser>
          <c:idx val="4"/>
          <c:order val="4"/>
          <c:tx>
            <c:strRef>
              <c:f>Bonneuil!$F$391</c:f>
              <c:strCache>
                <c:ptCount val="1"/>
                <c:pt idx="0">
                  <c:v>Reste à faire - ACTU 2023</c:v>
                </c:pt>
              </c:strCache>
            </c:strRef>
          </c:tx>
          <c:spPr>
            <a:ln w="57150">
              <a:solidFill>
                <a:srgbClr val="00B050"/>
              </a:solidFill>
              <a:prstDash val="dash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Bonneuil!$M$384:$X$384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Bonneuil!$M$391:$X$391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1762.1279999999999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86-4B05-A7F8-EEEED5D8C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443072"/>
        <c:axId val="269445376"/>
      </c:lineChart>
      <c:catAx>
        <c:axId val="269443072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69445376"/>
        <c:crosses val="autoZero"/>
        <c:auto val="1"/>
        <c:lblAlgn val="ctr"/>
        <c:lblOffset val="100"/>
        <c:noMultiLvlLbl val="0"/>
      </c:catAx>
      <c:valAx>
        <c:axId val="26944537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K€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6944307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100" baseline="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Ebit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Stains!$F$387</c:f>
              <c:strCache>
                <c:ptCount val="1"/>
                <c:pt idx="0">
                  <c:v>2021</c:v>
                </c:pt>
              </c:strCache>
            </c:strRef>
          </c:tx>
          <c:spPr>
            <a:ln w="57150">
              <a:solidFill>
                <a:schemeClr val="bg2">
                  <a:lumMod val="50000"/>
                </a:schemeClr>
              </a:solidFill>
            </a:ln>
          </c:spPr>
          <c:marker>
            <c:spPr>
              <a:solidFill>
                <a:schemeClr val="bg2">
                  <a:lumMod val="50000"/>
                </a:schemeClr>
              </a:solidFill>
              <a:ln>
                <a:solidFill>
                  <a:srgbClr val="EEECE1">
                    <a:lumMod val="50000"/>
                  </a:srgbClr>
                </a:solidFill>
              </a:ln>
            </c:spPr>
          </c:marker>
          <c:cat>
            <c:strRef>
              <c:f>Stains!$M$384:$X$384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Stains!$M$387:$X$387</c:f>
              <c:numCache>
                <c:formatCode>#,##0</c:formatCode>
                <c:ptCount val="12"/>
                <c:pt idx="0">
                  <c:v>-4.3909900000000004</c:v>
                </c:pt>
                <c:pt idx="1">
                  <c:v>57.075360000000103</c:v>
                </c:pt>
                <c:pt idx="2">
                  <c:v>89.917669999999902</c:v>
                </c:pt>
                <c:pt idx="3">
                  <c:v>161.52154999999999</c:v>
                </c:pt>
                <c:pt idx="4">
                  <c:v>284.77906000000002</c:v>
                </c:pt>
                <c:pt idx="5">
                  <c:v>361.07909999999998</c:v>
                </c:pt>
                <c:pt idx="6">
                  <c:v>471.25828999999999</c:v>
                </c:pt>
                <c:pt idx="7">
                  <c:v>713.97501</c:v>
                </c:pt>
                <c:pt idx="8">
                  <c:v>818.35849999999903</c:v>
                </c:pt>
                <c:pt idx="9">
                  <c:v>892.76300000000106</c:v>
                </c:pt>
                <c:pt idx="10">
                  <c:v>930.60299999999995</c:v>
                </c:pt>
                <c:pt idx="11">
                  <c:v>980.18299999999999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9-4C46-983C-129C3ADACA18}"/>
            </c:ext>
          </c:extLst>
        </c:ser>
        <c:ser>
          <c:idx val="1"/>
          <c:order val="1"/>
          <c:tx>
            <c:strRef>
              <c:f>Stains!$F$388</c:f>
              <c:strCache>
                <c:ptCount val="1"/>
                <c:pt idx="0">
                  <c:v>2022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Stains!$M$384:$X$384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Stains!$M$388:$X$388</c:f>
              <c:numCache>
                <c:formatCode>#,##0</c:formatCode>
                <c:ptCount val="12"/>
                <c:pt idx="0">
                  <c:v>85.200999999999993</c:v>
                </c:pt>
                <c:pt idx="1">
                  <c:v>145.72800000000001</c:v>
                </c:pt>
                <c:pt idx="2">
                  <c:v>230.029</c:v>
                </c:pt>
                <c:pt idx="3">
                  <c:v>301.02999999999997</c:v>
                </c:pt>
                <c:pt idx="4">
                  <c:v>416.02300000000002</c:v>
                </c:pt>
                <c:pt idx="5">
                  <c:v>555.99199999999996</c:v>
                </c:pt>
                <c:pt idx="6">
                  <c:v>652.62000000000103</c:v>
                </c:pt>
                <c:pt idx="7">
                  <c:v>814.95100000000002</c:v>
                </c:pt>
                <c:pt idx="8">
                  <c:v>853.98040999999898</c:v>
                </c:pt>
                <c:pt idx="9">
                  <c:v>926.08600000000001</c:v>
                </c:pt>
                <c:pt idx="10">
                  <c:v>998.36500000000001</c:v>
                </c:pt>
                <c:pt idx="11">
                  <c:v>1120.6500000000001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C9-4C46-983C-129C3ADACA18}"/>
            </c:ext>
          </c:extLst>
        </c:ser>
        <c:ser>
          <c:idx val="2"/>
          <c:order val="2"/>
          <c:tx>
            <c:strRef>
              <c:f>Stains!$F$389</c:f>
              <c:strCache>
                <c:ptCount val="1"/>
                <c:pt idx="0">
                  <c:v>ACTU 2023</c:v>
                </c:pt>
              </c:strCache>
            </c:strRef>
          </c:tx>
          <c:spPr>
            <a:ln w="57150">
              <a:solidFill>
                <a:srgbClr val="C00000"/>
              </a:solidFill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Stains!$M$384:$X$384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Stains!$M$389:$X$389</c:f>
              <c:numCache>
                <c:formatCode>#,##0</c:formatCode>
                <c:ptCount val="12"/>
                <c:pt idx="0">
                  <c:v>108.40699166666657</c:v>
                </c:pt>
                <c:pt idx="1">
                  <c:v>216.81398333333314</c:v>
                </c:pt>
                <c:pt idx="2">
                  <c:v>325.22097499999973</c:v>
                </c:pt>
                <c:pt idx="3">
                  <c:v>433.62796666666628</c:v>
                </c:pt>
                <c:pt idx="4">
                  <c:v>542.03495833333284</c:v>
                </c:pt>
                <c:pt idx="5">
                  <c:v>650.44194999999945</c:v>
                </c:pt>
                <c:pt idx="6">
                  <c:v>758.84894166666606</c:v>
                </c:pt>
                <c:pt idx="7">
                  <c:v>867.25593333333256</c:v>
                </c:pt>
                <c:pt idx="8">
                  <c:v>975.66292499999918</c:v>
                </c:pt>
                <c:pt idx="9">
                  <c:v>1084.0699166666657</c:v>
                </c:pt>
                <c:pt idx="10">
                  <c:v>1192.4769083333324</c:v>
                </c:pt>
                <c:pt idx="11">
                  <c:v>1300.8838999999989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C9-4C46-983C-129C3ADACA18}"/>
            </c:ext>
          </c:extLst>
        </c:ser>
        <c:ser>
          <c:idx val="3"/>
          <c:order val="3"/>
          <c:tx>
            <c:strRef>
              <c:f>Stains!$F$390</c:f>
              <c:strCache>
                <c:ptCount val="1"/>
                <c:pt idx="0">
                  <c:v>2023</c:v>
                </c:pt>
              </c:strCache>
            </c:strRef>
          </c:tx>
          <c:spPr>
            <a:ln w="57150"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strRef>
              <c:f>Stains!$M$384:$X$384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Stains!$M$390:$X$390</c:f>
              <c:numCache>
                <c:formatCode>#,##0</c:formatCode>
                <c:ptCount val="12"/>
                <c:pt idx="0">
                  <c:v>-19.077000000000002</c:v>
                </c:pt>
                <c:pt idx="1">
                  <c:v>12.779</c:v>
                </c:pt>
                <c:pt idx="2">
                  <c:v>59.855999999999902</c:v>
                </c:pt>
                <c:pt idx="3">
                  <c:v>174.006</c:v>
                </c:pt>
                <c:pt idx="4">
                  <c:v>442.99200000000002</c:v>
                </c:pt>
                <c:pt idx="5">
                  <c:v>581.66099999999994</c:v>
                </c:pt>
                <c:pt idx="6">
                  <c:v>680.60900000000004</c:v>
                </c:pt>
                <c:pt idx="7">
                  <c:v>830.54000000000099</c:v>
                </c:pt>
                <c:pt idx="8">
                  <c:v>932.85299999999995</c:v>
                </c:pt>
                <c:pt idx="9">
                  <c:v>1095.4280000000001</c:v>
                </c:pt>
                <c:pt idx="10">
                  <c:v>1186.067</c:v>
                </c:pt>
                <c:pt idx="11">
                  <c:v>1292.8920000000001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C9-4C46-983C-129C3ADACA18}"/>
            </c:ext>
          </c:extLst>
        </c:ser>
        <c:ser>
          <c:idx val="4"/>
          <c:order val="4"/>
          <c:tx>
            <c:strRef>
              <c:f>Stains!$F$391</c:f>
              <c:strCache>
                <c:ptCount val="1"/>
                <c:pt idx="0">
                  <c:v>Reste à faire - ACTU 2023</c:v>
                </c:pt>
              </c:strCache>
            </c:strRef>
          </c:tx>
          <c:spPr>
            <a:ln w="57150">
              <a:solidFill>
                <a:srgbClr val="00B050"/>
              </a:solidFill>
              <a:prstDash val="dash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Stains!$M$384:$X$384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Stains!$M$391:$X$391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1292.8920000000001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C9-4C46-983C-129C3ADAC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115136"/>
        <c:axId val="238871680"/>
      </c:lineChart>
      <c:catAx>
        <c:axId val="289115136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38871680"/>
        <c:crosses val="autoZero"/>
        <c:auto val="1"/>
        <c:lblAlgn val="ctr"/>
        <c:lblOffset val="100"/>
        <c:noMultiLvlLbl val="0"/>
      </c:catAx>
      <c:valAx>
        <c:axId val="23887168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K€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89115136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100" baseline="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Ebit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Buc!$F$387</c:f>
              <c:strCache>
                <c:ptCount val="1"/>
                <c:pt idx="0">
                  <c:v>2021</c:v>
                </c:pt>
              </c:strCache>
            </c:strRef>
          </c:tx>
          <c:spPr>
            <a:ln w="57150">
              <a:solidFill>
                <a:schemeClr val="bg2">
                  <a:lumMod val="50000"/>
                </a:schemeClr>
              </a:solidFill>
            </a:ln>
          </c:spPr>
          <c:marker>
            <c:spPr>
              <a:solidFill>
                <a:schemeClr val="bg2">
                  <a:lumMod val="50000"/>
                </a:schemeClr>
              </a:solidFill>
              <a:ln>
                <a:solidFill>
                  <a:srgbClr val="EEECE1">
                    <a:lumMod val="50000"/>
                  </a:srgbClr>
                </a:solidFill>
              </a:ln>
            </c:spPr>
          </c:marker>
          <c:cat>
            <c:strRef>
              <c:f>Buc!$M$384:$X$384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Buc!$M$387:$X$387</c:f>
              <c:numCache>
                <c:formatCode>#,##0</c:formatCode>
                <c:ptCount val="12"/>
                <c:pt idx="0">
                  <c:v>-26.496880000000001</c:v>
                </c:pt>
                <c:pt idx="1">
                  <c:v>6.1642699999998403</c:v>
                </c:pt>
                <c:pt idx="2">
                  <c:v>43.2939900000001</c:v>
                </c:pt>
                <c:pt idx="3">
                  <c:v>102.776</c:v>
                </c:pt>
                <c:pt idx="4">
                  <c:v>213.97794999999999</c:v>
                </c:pt>
                <c:pt idx="5">
                  <c:v>269.46138999999999</c:v>
                </c:pt>
                <c:pt idx="6">
                  <c:v>416.26616999999999</c:v>
                </c:pt>
                <c:pt idx="7">
                  <c:v>554.80057999999997</c:v>
                </c:pt>
                <c:pt idx="8">
                  <c:v>600.84028999999998</c:v>
                </c:pt>
                <c:pt idx="9">
                  <c:v>604.54500000000098</c:v>
                </c:pt>
                <c:pt idx="10">
                  <c:v>696.47500000000002</c:v>
                </c:pt>
                <c:pt idx="11">
                  <c:v>799.71300000000099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3-4F82-AB95-846C48F0EA06}"/>
            </c:ext>
          </c:extLst>
        </c:ser>
        <c:ser>
          <c:idx val="1"/>
          <c:order val="1"/>
          <c:tx>
            <c:strRef>
              <c:f>Buc!$F$388</c:f>
              <c:strCache>
                <c:ptCount val="1"/>
                <c:pt idx="0">
                  <c:v>2022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Buc!$M$384:$X$384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Buc!$M$388:$X$388</c:f>
              <c:numCache>
                <c:formatCode>#,##0</c:formatCode>
                <c:ptCount val="12"/>
                <c:pt idx="0">
                  <c:v>48.658999999999999</c:v>
                </c:pt>
                <c:pt idx="1">
                  <c:v>93.713000000000093</c:v>
                </c:pt>
                <c:pt idx="2">
                  <c:v>123.32599999999999</c:v>
                </c:pt>
                <c:pt idx="3">
                  <c:v>192.96100000000001</c:v>
                </c:pt>
                <c:pt idx="4">
                  <c:v>352.452</c:v>
                </c:pt>
                <c:pt idx="5">
                  <c:v>358.58199999999999</c:v>
                </c:pt>
                <c:pt idx="6">
                  <c:v>441.88200000000001</c:v>
                </c:pt>
                <c:pt idx="7">
                  <c:v>595.56899999999996</c:v>
                </c:pt>
                <c:pt idx="8">
                  <c:v>628.97243000000003</c:v>
                </c:pt>
                <c:pt idx="9">
                  <c:v>686.41899999999998</c:v>
                </c:pt>
                <c:pt idx="10">
                  <c:v>761.53099999999995</c:v>
                </c:pt>
                <c:pt idx="11">
                  <c:v>890.29100000000005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93-4F82-AB95-846C48F0EA06}"/>
            </c:ext>
          </c:extLst>
        </c:ser>
        <c:ser>
          <c:idx val="2"/>
          <c:order val="2"/>
          <c:tx>
            <c:strRef>
              <c:f>Buc!$F$389</c:f>
              <c:strCache>
                <c:ptCount val="1"/>
                <c:pt idx="0">
                  <c:v>ACTU 2023</c:v>
                </c:pt>
              </c:strCache>
            </c:strRef>
          </c:tx>
          <c:spPr>
            <a:ln w="57150">
              <a:solidFill>
                <a:srgbClr val="C00000"/>
              </a:solidFill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Buc!$M$384:$X$384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Buc!$M$389:$X$389</c:f>
              <c:numCache>
                <c:formatCode>#,##0</c:formatCode>
                <c:ptCount val="12"/>
                <c:pt idx="0">
                  <c:v>91.97945666666665</c:v>
                </c:pt>
                <c:pt idx="1">
                  <c:v>183.9589133333333</c:v>
                </c:pt>
                <c:pt idx="2">
                  <c:v>275.93836999999996</c:v>
                </c:pt>
                <c:pt idx="3">
                  <c:v>367.9178266666666</c:v>
                </c:pt>
                <c:pt idx="4">
                  <c:v>459.89728333333323</c:v>
                </c:pt>
                <c:pt idx="5">
                  <c:v>551.87673999999993</c:v>
                </c:pt>
                <c:pt idx="6">
                  <c:v>643.85619666666662</c:v>
                </c:pt>
                <c:pt idx="7">
                  <c:v>735.8356533333332</c:v>
                </c:pt>
                <c:pt idx="8">
                  <c:v>827.81510999999989</c:v>
                </c:pt>
                <c:pt idx="9">
                  <c:v>919.79456666666647</c:v>
                </c:pt>
                <c:pt idx="10">
                  <c:v>1011.7740233333333</c:v>
                </c:pt>
                <c:pt idx="11">
                  <c:v>1103.7534799999999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93-4F82-AB95-846C48F0EA06}"/>
            </c:ext>
          </c:extLst>
        </c:ser>
        <c:ser>
          <c:idx val="3"/>
          <c:order val="3"/>
          <c:tx>
            <c:strRef>
              <c:f>Buc!$F$390</c:f>
              <c:strCache>
                <c:ptCount val="1"/>
                <c:pt idx="0">
                  <c:v>2023</c:v>
                </c:pt>
              </c:strCache>
            </c:strRef>
          </c:tx>
          <c:spPr>
            <a:ln w="57150"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strRef>
              <c:f>Buc!$M$384:$X$384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Buc!$M$390:$X$390</c:f>
              <c:numCache>
                <c:formatCode>#,##0</c:formatCode>
                <c:ptCount val="12"/>
                <c:pt idx="0">
                  <c:v>49.564</c:v>
                </c:pt>
                <c:pt idx="1">
                  <c:v>80.795999999999907</c:v>
                </c:pt>
                <c:pt idx="2">
                  <c:v>128.01499999999999</c:v>
                </c:pt>
                <c:pt idx="3">
                  <c:v>250.19</c:v>
                </c:pt>
                <c:pt idx="4">
                  <c:v>439.09</c:v>
                </c:pt>
                <c:pt idx="5">
                  <c:v>490.62799999999999</c:v>
                </c:pt>
                <c:pt idx="6">
                  <c:v>650.10799999999995</c:v>
                </c:pt>
                <c:pt idx="7">
                  <c:v>797</c:v>
                </c:pt>
                <c:pt idx="8">
                  <c:v>839.46499999999901</c:v>
                </c:pt>
                <c:pt idx="9">
                  <c:v>906.40099999999995</c:v>
                </c:pt>
                <c:pt idx="10">
                  <c:v>972.171999999999</c:v>
                </c:pt>
                <c:pt idx="11">
                  <c:v>1067.5319999999999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93-4F82-AB95-846C48F0EA06}"/>
            </c:ext>
          </c:extLst>
        </c:ser>
        <c:ser>
          <c:idx val="4"/>
          <c:order val="4"/>
          <c:tx>
            <c:strRef>
              <c:f>Buc!$F$391</c:f>
              <c:strCache>
                <c:ptCount val="1"/>
                <c:pt idx="0">
                  <c:v>Reste à faire - ACTU 2023</c:v>
                </c:pt>
              </c:strCache>
            </c:strRef>
          </c:tx>
          <c:spPr>
            <a:ln w="57150">
              <a:solidFill>
                <a:srgbClr val="00B050"/>
              </a:solidFill>
              <a:prstDash val="dash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Buc!$M$384:$X$384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Buc!$M$391:$X$391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1067.5319999999999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93-4F82-AB95-846C48F0E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523392"/>
        <c:axId val="246524928"/>
      </c:lineChart>
      <c:catAx>
        <c:axId val="246523392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46524928"/>
        <c:crosses val="autoZero"/>
        <c:auto val="1"/>
        <c:lblAlgn val="ctr"/>
        <c:lblOffset val="100"/>
        <c:noMultiLvlLbl val="0"/>
      </c:catAx>
      <c:valAx>
        <c:axId val="24652492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K€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4652339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100" baseline="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Ebit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'Vaux Le Pénil'!$F$387</c:f>
              <c:strCache>
                <c:ptCount val="1"/>
                <c:pt idx="0">
                  <c:v>2021</c:v>
                </c:pt>
              </c:strCache>
            </c:strRef>
          </c:tx>
          <c:spPr>
            <a:ln w="57150">
              <a:solidFill>
                <a:schemeClr val="bg2">
                  <a:lumMod val="50000"/>
                </a:schemeClr>
              </a:solidFill>
            </a:ln>
          </c:spPr>
          <c:marker>
            <c:spPr>
              <a:solidFill>
                <a:schemeClr val="bg2">
                  <a:lumMod val="50000"/>
                </a:schemeClr>
              </a:solidFill>
              <a:ln>
                <a:solidFill>
                  <a:srgbClr val="EEECE1">
                    <a:lumMod val="50000"/>
                  </a:srgbClr>
                </a:solidFill>
              </a:ln>
            </c:spPr>
          </c:marker>
          <c:cat>
            <c:strRef>
              <c:f>'Vaux Le Pénil'!$M$384:$X$384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'Vaux Le Pénil'!$M$387:$X$387</c:f>
              <c:numCache>
                <c:formatCode>#,##0</c:formatCode>
                <c:ptCount val="12"/>
                <c:pt idx="0">
                  <c:v>-0.626</c:v>
                </c:pt>
                <c:pt idx="1">
                  <c:v>4.0190000000000001</c:v>
                </c:pt>
                <c:pt idx="2">
                  <c:v>2.4279999999999999</c:v>
                </c:pt>
                <c:pt idx="3">
                  <c:v>-0.748000000000001</c:v>
                </c:pt>
                <c:pt idx="4">
                  <c:v>-0.82000000000000095</c:v>
                </c:pt>
                <c:pt idx="5">
                  <c:v>-0.93000000000000105</c:v>
                </c:pt>
                <c:pt idx="6">
                  <c:v>-1.0089999999999999</c:v>
                </c:pt>
                <c:pt idx="7">
                  <c:v>94.141999999999996</c:v>
                </c:pt>
                <c:pt idx="8">
                  <c:v>118.93600000000001</c:v>
                </c:pt>
                <c:pt idx="9">
                  <c:v>188.518</c:v>
                </c:pt>
                <c:pt idx="10">
                  <c:v>270.68400000000003</c:v>
                </c:pt>
                <c:pt idx="11">
                  <c:v>271.22199999999998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FE-44E5-9517-72D4E6D673E8}"/>
            </c:ext>
          </c:extLst>
        </c:ser>
        <c:ser>
          <c:idx val="1"/>
          <c:order val="1"/>
          <c:tx>
            <c:strRef>
              <c:f>'Vaux Le Pénil'!$F$388</c:f>
              <c:strCache>
                <c:ptCount val="1"/>
                <c:pt idx="0">
                  <c:v>2022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'Vaux Le Pénil'!$M$384:$X$384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'Vaux Le Pénil'!$M$388:$X$388</c:f>
              <c:numCache>
                <c:formatCode>#,##0</c:formatCode>
                <c:ptCount val="12"/>
                <c:pt idx="0">
                  <c:v>5.2350000000000003</c:v>
                </c:pt>
                <c:pt idx="1">
                  <c:v>4.7709999999999999</c:v>
                </c:pt>
                <c:pt idx="2">
                  <c:v>8.2370000000000001</c:v>
                </c:pt>
                <c:pt idx="3">
                  <c:v>-7.0049999999999901</c:v>
                </c:pt>
                <c:pt idx="4">
                  <c:v>-27.954000000000001</c:v>
                </c:pt>
                <c:pt idx="5">
                  <c:v>-27.916</c:v>
                </c:pt>
                <c:pt idx="6">
                  <c:v>-28.437000000000001</c:v>
                </c:pt>
                <c:pt idx="7">
                  <c:v>-28.021000000000001</c:v>
                </c:pt>
                <c:pt idx="8">
                  <c:v>0.32100000000001999</c:v>
                </c:pt>
                <c:pt idx="9">
                  <c:v>-24.31</c:v>
                </c:pt>
                <c:pt idx="10">
                  <c:v>-24.881</c:v>
                </c:pt>
                <c:pt idx="11">
                  <c:v>-4.09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FE-44E5-9517-72D4E6D673E8}"/>
            </c:ext>
          </c:extLst>
        </c:ser>
        <c:ser>
          <c:idx val="2"/>
          <c:order val="2"/>
          <c:tx>
            <c:strRef>
              <c:f>'Vaux Le Pénil'!$F$389</c:f>
              <c:strCache>
                <c:ptCount val="1"/>
                <c:pt idx="0">
                  <c:v>ACTU 2023</c:v>
                </c:pt>
              </c:strCache>
            </c:strRef>
          </c:tx>
          <c:spPr>
            <a:ln w="57150">
              <a:solidFill>
                <a:srgbClr val="C00000"/>
              </a:solidFill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'Vaux Le Pénil'!$M$384:$X$384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'Vaux Le Pénil'!$M$389:$X$389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FE-44E5-9517-72D4E6D673E8}"/>
            </c:ext>
          </c:extLst>
        </c:ser>
        <c:ser>
          <c:idx val="3"/>
          <c:order val="3"/>
          <c:tx>
            <c:strRef>
              <c:f>'Vaux Le Pénil'!$F$390</c:f>
              <c:strCache>
                <c:ptCount val="1"/>
                <c:pt idx="0">
                  <c:v>2023</c:v>
                </c:pt>
              </c:strCache>
            </c:strRef>
          </c:tx>
          <c:spPr>
            <a:ln w="57150"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strRef>
              <c:f>'Vaux Le Pénil'!$M$384:$X$384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'Vaux Le Pénil'!$M$390:$X$390</c:f>
              <c:numCache>
                <c:formatCode>#,##0</c:formatCode>
                <c:ptCount val="12"/>
                <c:pt idx="0">
                  <c:v>-0.24099999999999999</c:v>
                </c:pt>
                <c:pt idx="1">
                  <c:v>-0.27700000000000002</c:v>
                </c:pt>
                <c:pt idx="2">
                  <c:v>5.4710000000000001</c:v>
                </c:pt>
                <c:pt idx="3">
                  <c:v>5.64</c:v>
                </c:pt>
                <c:pt idx="4">
                  <c:v>5.6050000000000004</c:v>
                </c:pt>
                <c:pt idx="5">
                  <c:v>5.57</c:v>
                </c:pt>
                <c:pt idx="6">
                  <c:v>5.4969999999999999</c:v>
                </c:pt>
                <c:pt idx="7">
                  <c:v>5.2569999999999997</c:v>
                </c:pt>
                <c:pt idx="8">
                  <c:v>5.5970000000000004</c:v>
                </c:pt>
                <c:pt idx="9">
                  <c:v>8.06499999999998</c:v>
                </c:pt>
                <c:pt idx="10">
                  <c:v>8.3499999999999694</c:v>
                </c:pt>
                <c:pt idx="11">
                  <c:v>8.2209999999999805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FE-44E5-9517-72D4E6D673E8}"/>
            </c:ext>
          </c:extLst>
        </c:ser>
        <c:ser>
          <c:idx val="4"/>
          <c:order val="4"/>
          <c:tx>
            <c:strRef>
              <c:f>'Vaux Le Pénil'!$F$391</c:f>
              <c:strCache>
                <c:ptCount val="1"/>
                <c:pt idx="0">
                  <c:v>Reste à faire - ACTU 2023</c:v>
                </c:pt>
              </c:strCache>
            </c:strRef>
          </c:tx>
          <c:spPr>
            <a:ln w="57150">
              <a:solidFill>
                <a:srgbClr val="00B050"/>
              </a:solidFill>
              <a:prstDash val="dash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'Vaux Le Pénil'!$M$384:$X$384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'Vaux Le Pénil'!$M$391:$X$391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8.2209999999999805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FE-44E5-9517-72D4E6D67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348736"/>
        <c:axId val="259363200"/>
      </c:lineChart>
      <c:catAx>
        <c:axId val="259348736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59363200"/>
        <c:crosses val="autoZero"/>
        <c:auto val="1"/>
        <c:lblAlgn val="ctr"/>
        <c:lblOffset val="100"/>
        <c:noMultiLvlLbl val="0"/>
      </c:catAx>
      <c:valAx>
        <c:axId val="25936320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K€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59348736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100" baseline="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Ebit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'Réseaux-DAAF'!$F$374</c:f>
              <c:strCache>
                <c:ptCount val="1"/>
                <c:pt idx="0">
                  <c:v>#REF!</c:v>
                </c:pt>
              </c:strCache>
            </c:strRef>
          </c:tx>
          <c:spPr>
            <a:ln w="57150">
              <a:solidFill>
                <a:schemeClr val="bg2">
                  <a:lumMod val="50000"/>
                </a:schemeClr>
              </a:solidFill>
            </a:ln>
          </c:spPr>
          <c:marker>
            <c:spPr>
              <a:solidFill>
                <a:schemeClr val="bg2">
                  <a:lumMod val="50000"/>
                </a:schemeClr>
              </a:solidFill>
              <a:ln>
                <a:solidFill>
                  <a:srgbClr val="EEECE1">
                    <a:lumMod val="50000"/>
                  </a:srgbClr>
                </a:solidFill>
              </a:ln>
            </c:spPr>
          </c:marker>
          <c:cat>
            <c:strRef>
              <c:f>'Réseaux-DAAF'!$L$371:$W$371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'Réseaux-DAAF'!$L$374:$W$374</c:f>
              <c:numCache>
                <c:formatCode>#,##0</c:formatCode>
                <c:ptCount val="12"/>
                <c:pt idx="0">
                  <c:v>-3.6999999999999998E-2</c:v>
                </c:pt>
                <c:pt idx="1">
                  <c:v>-1.2310000000000001</c:v>
                </c:pt>
                <c:pt idx="2">
                  <c:v>-1.3169999999999999</c:v>
                </c:pt>
                <c:pt idx="3">
                  <c:v>-4.3620000000000001</c:v>
                </c:pt>
                <c:pt idx="4">
                  <c:v>-5.8920000000000003</c:v>
                </c:pt>
                <c:pt idx="5">
                  <c:v>-5.9169999999999998</c:v>
                </c:pt>
                <c:pt idx="6">
                  <c:v>-5.9420000000000002</c:v>
                </c:pt>
                <c:pt idx="7">
                  <c:v>-5.9669999999999996</c:v>
                </c:pt>
                <c:pt idx="8">
                  <c:v>-5.992</c:v>
                </c:pt>
                <c:pt idx="9">
                  <c:v>-6.0179999999999998</c:v>
                </c:pt>
                <c:pt idx="10">
                  <c:v>154.815</c:v>
                </c:pt>
                <c:pt idx="11">
                  <c:v>154.79900000000001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8-4ED5-8C34-9E8D794D56F9}"/>
            </c:ext>
          </c:extLst>
        </c:ser>
        <c:ser>
          <c:idx val="1"/>
          <c:order val="1"/>
          <c:tx>
            <c:strRef>
              <c:f>'Réseaux-DAAF'!$F$375</c:f>
              <c:strCache>
                <c:ptCount val="1"/>
                <c:pt idx="0">
                  <c:v>#REF!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'Réseaux-DAAF'!$L$371:$W$371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'Réseaux-DAAF'!$L$375:$W$375</c:f>
              <c:numCache>
                <c:formatCode>#,##0</c:formatCode>
                <c:ptCount val="12"/>
                <c:pt idx="0">
                  <c:v>-1.6E-2</c:v>
                </c:pt>
                <c:pt idx="1">
                  <c:v>-3.0329999999999999</c:v>
                </c:pt>
                <c:pt idx="2">
                  <c:v>-3.544</c:v>
                </c:pt>
                <c:pt idx="3">
                  <c:v>-3.6</c:v>
                </c:pt>
                <c:pt idx="4">
                  <c:v>-16.846</c:v>
                </c:pt>
                <c:pt idx="5">
                  <c:v>-3.633</c:v>
                </c:pt>
                <c:pt idx="6">
                  <c:v>-3.8359999999999999</c:v>
                </c:pt>
                <c:pt idx="7">
                  <c:v>-3.8530000000000002</c:v>
                </c:pt>
                <c:pt idx="8">
                  <c:v>-3.8690000000000002</c:v>
                </c:pt>
                <c:pt idx="9">
                  <c:v>-3.8860000000000001</c:v>
                </c:pt>
                <c:pt idx="10">
                  <c:v>-5.0090000000000003</c:v>
                </c:pt>
                <c:pt idx="11">
                  <c:v>0.54299999999999904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98-4ED5-8C34-9E8D794D56F9}"/>
            </c:ext>
          </c:extLst>
        </c:ser>
        <c:ser>
          <c:idx val="2"/>
          <c:order val="2"/>
          <c:tx>
            <c:strRef>
              <c:f>'Réseaux-DAAF'!$F$376</c:f>
              <c:strCache>
                <c:ptCount val="1"/>
                <c:pt idx="0">
                  <c:v>#REF!</c:v>
                </c:pt>
              </c:strCache>
            </c:strRef>
          </c:tx>
          <c:spPr>
            <a:ln w="57150">
              <a:solidFill>
                <a:srgbClr val="C00000"/>
              </a:solidFill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'Réseaux-DAAF'!$L$371:$W$371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'Réseaux-DAAF'!$L$376:$W$376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98-4ED5-8C34-9E8D794D56F9}"/>
            </c:ext>
          </c:extLst>
        </c:ser>
        <c:ser>
          <c:idx val="3"/>
          <c:order val="3"/>
          <c:tx>
            <c:strRef>
              <c:f>'Réseaux-DAAF'!$F$377</c:f>
              <c:strCache>
                <c:ptCount val="1"/>
                <c:pt idx="0">
                  <c:v>#REF!</c:v>
                </c:pt>
              </c:strCache>
            </c:strRef>
          </c:tx>
          <c:spPr>
            <a:ln w="57150"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strRef>
              <c:f>'Réseaux-DAAF'!$L$371:$W$371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'Réseaux-DAAF'!$L$377:$W$377</c:f>
              <c:numCache>
                <c:formatCode>#,##0</c:formatCode>
                <c:ptCount val="12"/>
                <c:pt idx="0">
                  <c:v>-1.7000000000000001E-2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98-4ED5-8C34-9E8D794D56F9}"/>
            </c:ext>
          </c:extLst>
        </c:ser>
        <c:ser>
          <c:idx val="4"/>
          <c:order val="4"/>
          <c:tx>
            <c:strRef>
              <c:f>'Réseaux-DAAF'!$F$378</c:f>
              <c:strCache>
                <c:ptCount val="1"/>
                <c:pt idx="0">
                  <c:v>#REF!</c:v>
                </c:pt>
              </c:strCache>
            </c:strRef>
          </c:tx>
          <c:spPr>
            <a:ln w="57150">
              <a:solidFill>
                <a:srgbClr val="00B050"/>
              </a:solidFill>
              <a:prstDash val="dash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'Réseaux-DAAF'!$L$371:$W$371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'Réseaux-DAAF'!$L$378:$W$378</c:f>
              <c:numCache>
                <c:formatCode>#,##0</c:formatCode>
                <c:ptCount val="12"/>
                <c:pt idx="0">
                  <c:v>-1.7000000000000001E-2</c:v>
                </c:pt>
                <c:pt idx="1">
                  <c:v>-1.5454545454545455E-2</c:v>
                </c:pt>
                <c:pt idx="2">
                  <c:v>-1.3909090909090909E-2</c:v>
                </c:pt>
                <c:pt idx="3">
                  <c:v>-1.2363636363636363E-2</c:v>
                </c:pt>
                <c:pt idx="4">
                  <c:v>-1.0818181818181817E-2</c:v>
                </c:pt>
                <c:pt idx="5">
                  <c:v>-9.272727272727271E-3</c:v>
                </c:pt>
                <c:pt idx="6">
                  <c:v>-7.7272727272727259E-3</c:v>
                </c:pt>
                <c:pt idx="7">
                  <c:v>-6.1818181818181807E-3</c:v>
                </c:pt>
                <c:pt idx="8">
                  <c:v>-4.6363636363636355E-3</c:v>
                </c:pt>
                <c:pt idx="9">
                  <c:v>-3.0909090909090903E-3</c:v>
                </c:pt>
                <c:pt idx="10">
                  <c:v>-1.5454545454545452E-3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98-4ED5-8C34-9E8D794D5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662464"/>
        <c:axId val="265664384"/>
      </c:lineChart>
      <c:catAx>
        <c:axId val="265662464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65664384"/>
        <c:crosses val="autoZero"/>
        <c:auto val="1"/>
        <c:lblAlgn val="ctr"/>
        <c:lblOffset val="100"/>
        <c:noMultiLvlLbl val="0"/>
      </c:catAx>
      <c:valAx>
        <c:axId val="26566438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K€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6566246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100" baseline="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Ebit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'Secteur Rob.Privée'!$F$387</c:f>
              <c:strCache>
                <c:ptCount val="1"/>
                <c:pt idx="0">
                  <c:v>2021</c:v>
                </c:pt>
              </c:strCache>
            </c:strRef>
          </c:tx>
          <c:spPr>
            <a:ln w="57150">
              <a:solidFill>
                <a:schemeClr val="bg2">
                  <a:lumMod val="50000"/>
                </a:schemeClr>
              </a:solidFill>
            </a:ln>
          </c:spPr>
          <c:marker>
            <c:spPr>
              <a:solidFill>
                <a:schemeClr val="bg2">
                  <a:lumMod val="50000"/>
                </a:schemeClr>
              </a:solidFill>
              <a:ln>
                <a:solidFill>
                  <a:srgbClr val="EEECE1">
                    <a:lumMod val="50000"/>
                  </a:srgbClr>
                </a:solidFill>
              </a:ln>
            </c:spPr>
          </c:marker>
          <c:cat>
            <c:strRef>
              <c:f>'Secteur Rob.Privée'!$M$384:$X$384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Rob.Privée'!$M$387:$X$387</c:f>
              <c:numCache>
                <c:formatCode>#,##0</c:formatCode>
                <c:ptCount val="12"/>
                <c:pt idx="0">
                  <c:v>-29.415939999999999</c:v>
                </c:pt>
                <c:pt idx="1">
                  <c:v>22.526810000000001</c:v>
                </c:pt>
                <c:pt idx="2">
                  <c:v>33.93459</c:v>
                </c:pt>
                <c:pt idx="3">
                  <c:v>102.23063999999999</c:v>
                </c:pt>
                <c:pt idx="4">
                  <c:v>244.17267000000001</c:v>
                </c:pt>
                <c:pt idx="5">
                  <c:v>318.19603000000001</c:v>
                </c:pt>
                <c:pt idx="6">
                  <c:v>430.49335000000002</c:v>
                </c:pt>
                <c:pt idx="7">
                  <c:v>572.29434000000003</c:v>
                </c:pt>
                <c:pt idx="8">
                  <c:v>644.38999000000001</c:v>
                </c:pt>
                <c:pt idx="9">
                  <c:v>728.22800000000097</c:v>
                </c:pt>
                <c:pt idx="10">
                  <c:v>782.42700000000002</c:v>
                </c:pt>
                <c:pt idx="11">
                  <c:v>908.55500000000097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F-4425-990E-B46CF4E7ACC0}"/>
            </c:ext>
          </c:extLst>
        </c:ser>
        <c:ser>
          <c:idx val="1"/>
          <c:order val="1"/>
          <c:tx>
            <c:strRef>
              <c:f>'Secteur Rob.Privée'!$F$388</c:f>
              <c:strCache>
                <c:ptCount val="1"/>
                <c:pt idx="0">
                  <c:v>2022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'Secteur Rob.Privée'!$M$384:$X$384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Rob.Privée'!$M$388:$X$388</c:f>
              <c:numCache>
                <c:formatCode>#,##0</c:formatCode>
                <c:ptCount val="12"/>
                <c:pt idx="0">
                  <c:v>87.694999999999993</c:v>
                </c:pt>
                <c:pt idx="1">
                  <c:v>225.584</c:v>
                </c:pt>
                <c:pt idx="2">
                  <c:v>273.92399999999998</c:v>
                </c:pt>
                <c:pt idx="3">
                  <c:v>326.834</c:v>
                </c:pt>
                <c:pt idx="4">
                  <c:v>450.988</c:v>
                </c:pt>
                <c:pt idx="5">
                  <c:v>610.303</c:v>
                </c:pt>
                <c:pt idx="6">
                  <c:v>679.298</c:v>
                </c:pt>
                <c:pt idx="7">
                  <c:v>886.83699999999999</c:v>
                </c:pt>
                <c:pt idx="8">
                  <c:v>1017.46836</c:v>
                </c:pt>
                <c:pt idx="9">
                  <c:v>1104.7460000000001</c:v>
                </c:pt>
                <c:pt idx="10">
                  <c:v>1295.8530000000001</c:v>
                </c:pt>
                <c:pt idx="11">
                  <c:v>1570.4580000000001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F-4425-990E-B46CF4E7ACC0}"/>
            </c:ext>
          </c:extLst>
        </c:ser>
        <c:ser>
          <c:idx val="2"/>
          <c:order val="2"/>
          <c:tx>
            <c:strRef>
              <c:f>'Secteur Rob.Privée'!$F$389</c:f>
              <c:strCache>
                <c:ptCount val="1"/>
                <c:pt idx="0">
                  <c:v>ACTU 2023</c:v>
                </c:pt>
              </c:strCache>
            </c:strRef>
          </c:tx>
          <c:spPr>
            <a:ln w="57150">
              <a:solidFill>
                <a:srgbClr val="C00000"/>
              </a:solidFill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'Secteur Rob.Privée'!$M$384:$X$384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Rob.Privée'!$M$389:$X$389</c:f>
              <c:numCache>
                <c:formatCode>#,##0</c:formatCode>
                <c:ptCount val="12"/>
                <c:pt idx="0">
                  <c:v>111.42359250000004</c:v>
                </c:pt>
                <c:pt idx="1">
                  <c:v>222.84718500000008</c:v>
                </c:pt>
                <c:pt idx="2">
                  <c:v>334.27077750000012</c:v>
                </c:pt>
                <c:pt idx="3">
                  <c:v>445.69437000000016</c:v>
                </c:pt>
                <c:pt idx="4">
                  <c:v>557.1179625000002</c:v>
                </c:pt>
                <c:pt idx="5">
                  <c:v>668.54155500000024</c:v>
                </c:pt>
                <c:pt idx="6">
                  <c:v>779.9651475000004</c:v>
                </c:pt>
                <c:pt idx="7">
                  <c:v>891.38874000000033</c:v>
                </c:pt>
                <c:pt idx="8">
                  <c:v>1002.8123325000003</c:v>
                </c:pt>
                <c:pt idx="9">
                  <c:v>1114.2359250000004</c:v>
                </c:pt>
                <c:pt idx="10">
                  <c:v>1225.6595175000004</c:v>
                </c:pt>
                <c:pt idx="11">
                  <c:v>1337.0831100000005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BF-4425-990E-B46CF4E7ACC0}"/>
            </c:ext>
          </c:extLst>
        </c:ser>
        <c:ser>
          <c:idx val="3"/>
          <c:order val="3"/>
          <c:tx>
            <c:strRef>
              <c:f>'Secteur Rob.Privée'!$F$390</c:f>
              <c:strCache>
                <c:ptCount val="1"/>
                <c:pt idx="0">
                  <c:v>2023</c:v>
                </c:pt>
              </c:strCache>
            </c:strRef>
          </c:tx>
          <c:spPr>
            <a:ln w="57150"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strRef>
              <c:f>'Secteur Rob.Privée'!$M$384:$X$384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Rob.Privée'!$M$390:$X$390</c:f>
              <c:numCache>
                <c:formatCode>#,##0</c:formatCode>
                <c:ptCount val="12"/>
                <c:pt idx="0">
                  <c:v>71.655999999999906</c:v>
                </c:pt>
                <c:pt idx="1">
                  <c:v>155.303</c:v>
                </c:pt>
                <c:pt idx="2">
                  <c:v>241.27799999999999</c:v>
                </c:pt>
                <c:pt idx="3">
                  <c:v>419.35300000000001</c:v>
                </c:pt>
                <c:pt idx="4">
                  <c:v>579.70500000000004</c:v>
                </c:pt>
                <c:pt idx="5">
                  <c:v>713.57500000000005</c:v>
                </c:pt>
                <c:pt idx="6">
                  <c:v>778.35199999999998</c:v>
                </c:pt>
                <c:pt idx="7">
                  <c:v>947.34600000000103</c:v>
                </c:pt>
                <c:pt idx="8">
                  <c:v>1073.29</c:v>
                </c:pt>
                <c:pt idx="9">
                  <c:v>1194.0820000000001</c:v>
                </c:pt>
                <c:pt idx="10">
                  <c:v>1359.2429999999999</c:v>
                </c:pt>
                <c:pt idx="11">
                  <c:v>1509.202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BF-4425-990E-B46CF4E7ACC0}"/>
            </c:ext>
          </c:extLst>
        </c:ser>
        <c:ser>
          <c:idx val="4"/>
          <c:order val="4"/>
          <c:tx>
            <c:strRef>
              <c:f>'Secteur Rob.Privée'!$F$391</c:f>
              <c:strCache>
                <c:ptCount val="1"/>
                <c:pt idx="0">
                  <c:v>Reste à faire - ACTU 2023</c:v>
                </c:pt>
              </c:strCache>
            </c:strRef>
          </c:tx>
          <c:spPr>
            <a:ln w="57150">
              <a:solidFill>
                <a:srgbClr val="00B050"/>
              </a:solidFill>
              <a:prstDash val="dash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'Secteur Rob.Privée'!$M$384:$X$384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'Secteur Rob.Privée'!$M$391:$X$391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1509.202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BF-4425-990E-B46CF4E7A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214272"/>
        <c:axId val="292216192"/>
      </c:lineChart>
      <c:catAx>
        <c:axId val="292214272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92216192"/>
        <c:crosses val="autoZero"/>
        <c:auto val="1"/>
        <c:lblAlgn val="ctr"/>
        <c:lblOffset val="100"/>
        <c:noMultiLvlLbl val="0"/>
      </c:catAx>
      <c:valAx>
        <c:axId val="29221619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K€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9221427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100" baseline="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Ebit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Montlouis!$F$387</c:f>
              <c:strCache>
                <c:ptCount val="1"/>
                <c:pt idx="0">
                  <c:v>2021</c:v>
                </c:pt>
              </c:strCache>
            </c:strRef>
          </c:tx>
          <c:spPr>
            <a:ln w="57150">
              <a:solidFill>
                <a:schemeClr val="bg2">
                  <a:lumMod val="50000"/>
                </a:schemeClr>
              </a:solidFill>
            </a:ln>
          </c:spPr>
          <c:marker>
            <c:spPr>
              <a:solidFill>
                <a:schemeClr val="bg2">
                  <a:lumMod val="50000"/>
                </a:schemeClr>
              </a:solidFill>
              <a:ln>
                <a:solidFill>
                  <a:srgbClr val="EEECE1">
                    <a:lumMod val="50000"/>
                  </a:srgbClr>
                </a:solidFill>
              </a:ln>
            </c:spPr>
          </c:marker>
          <c:cat>
            <c:strRef>
              <c:f>Montlouis!$M$384:$X$384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Montlouis!$M$387:$X$387</c:f>
              <c:numCache>
                <c:formatCode>#,##0</c:formatCode>
                <c:ptCount val="12"/>
                <c:pt idx="0">
                  <c:v>-19.509450000000001</c:v>
                </c:pt>
                <c:pt idx="1">
                  <c:v>46.395820000000001</c:v>
                </c:pt>
                <c:pt idx="2">
                  <c:v>62.694559999999797</c:v>
                </c:pt>
                <c:pt idx="3">
                  <c:v>150.03735</c:v>
                </c:pt>
                <c:pt idx="4">
                  <c:v>286.60404999999997</c:v>
                </c:pt>
                <c:pt idx="5">
                  <c:v>365.88252999999997</c:v>
                </c:pt>
                <c:pt idx="6">
                  <c:v>488.00896999999998</c:v>
                </c:pt>
                <c:pt idx="7">
                  <c:v>636.22554000000002</c:v>
                </c:pt>
                <c:pt idx="8">
                  <c:v>693.30043000000001</c:v>
                </c:pt>
                <c:pt idx="9">
                  <c:v>792.92700000000104</c:v>
                </c:pt>
                <c:pt idx="10">
                  <c:v>870.02900000000102</c:v>
                </c:pt>
                <c:pt idx="11">
                  <c:v>1004.711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15-4865-BE4D-C4AB9BAA0F56}"/>
            </c:ext>
          </c:extLst>
        </c:ser>
        <c:ser>
          <c:idx val="1"/>
          <c:order val="1"/>
          <c:tx>
            <c:strRef>
              <c:f>Montlouis!$F$388</c:f>
              <c:strCache>
                <c:ptCount val="1"/>
                <c:pt idx="0">
                  <c:v>2022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Montlouis!$M$384:$X$384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Montlouis!$M$388:$X$388</c:f>
              <c:numCache>
                <c:formatCode>#,##0</c:formatCode>
                <c:ptCount val="12"/>
                <c:pt idx="0">
                  <c:v>96.545000000000002</c:v>
                </c:pt>
                <c:pt idx="1">
                  <c:v>252.297</c:v>
                </c:pt>
                <c:pt idx="2">
                  <c:v>319</c:v>
                </c:pt>
                <c:pt idx="3">
                  <c:v>397.39499999999998</c:v>
                </c:pt>
                <c:pt idx="4">
                  <c:v>538.65</c:v>
                </c:pt>
                <c:pt idx="5">
                  <c:v>708.58</c:v>
                </c:pt>
                <c:pt idx="6">
                  <c:v>781.21400000000006</c:v>
                </c:pt>
                <c:pt idx="7">
                  <c:v>973.71699999999998</c:v>
                </c:pt>
                <c:pt idx="8">
                  <c:v>1102.52089</c:v>
                </c:pt>
                <c:pt idx="9">
                  <c:v>1193.81</c:v>
                </c:pt>
                <c:pt idx="10">
                  <c:v>1387.444</c:v>
                </c:pt>
                <c:pt idx="11">
                  <c:v>1662.174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15-4865-BE4D-C4AB9BAA0F56}"/>
            </c:ext>
          </c:extLst>
        </c:ser>
        <c:ser>
          <c:idx val="2"/>
          <c:order val="2"/>
          <c:tx>
            <c:strRef>
              <c:f>Montlouis!$F$389</c:f>
              <c:strCache>
                <c:ptCount val="1"/>
                <c:pt idx="0">
                  <c:v>ACTU 2023</c:v>
                </c:pt>
              </c:strCache>
            </c:strRef>
          </c:tx>
          <c:spPr>
            <a:ln w="57150">
              <a:solidFill>
                <a:srgbClr val="C00000"/>
              </a:solidFill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Montlouis!$M$384:$X$384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Montlouis!$M$389:$X$389</c:f>
              <c:numCache>
                <c:formatCode>#,##0</c:formatCode>
                <c:ptCount val="12"/>
                <c:pt idx="0">
                  <c:v>111.42359250000004</c:v>
                </c:pt>
                <c:pt idx="1">
                  <c:v>222.84718500000008</c:v>
                </c:pt>
                <c:pt idx="2">
                  <c:v>334.27077750000012</c:v>
                </c:pt>
                <c:pt idx="3">
                  <c:v>445.69437000000016</c:v>
                </c:pt>
                <c:pt idx="4">
                  <c:v>557.1179625000002</c:v>
                </c:pt>
                <c:pt idx="5">
                  <c:v>668.54155500000024</c:v>
                </c:pt>
                <c:pt idx="6">
                  <c:v>779.9651475000004</c:v>
                </c:pt>
                <c:pt idx="7">
                  <c:v>891.38874000000033</c:v>
                </c:pt>
                <c:pt idx="8">
                  <c:v>1002.8123325000003</c:v>
                </c:pt>
                <c:pt idx="9">
                  <c:v>1114.2359250000004</c:v>
                </c:pt>
                <c:pt idx="10">
                  <c:v>1225.6595175000004</c:v>
                </c:pt>
                <c:pt idx="11">
                  <c:v>1337.0831100000005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15-4865-BE4D-C4AB9BAA0F56}"/>
            </c:ext>
          </c:extLst>
        </c:ser>
        <c:ser>
          <c:idx val="3"/>
          <c:order val="3"/>
          <c:tx>
            <c:strRef>
              <c:f>Montlouis!$F$390</c:f>
              <c:strCache>
                <c:ptCount val="1"/>
                <c:pt idx="0">
                  <c:v>2023</c:v>
                </c:pt>
              </c:strCache>
            </c:strRef>
          </c:tx>
          <c:spPr>
            <a:ln w="57150"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strRef>
              <c:f>Montlouis!$M$384:$X$384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Montlouis!$M$390:$X$390</c:f>
              <c:numCache>
                <c:formatCode>#,##0</c:formatCode>
                <c:ptCount val="12"/>
                <c:pt idx="0">
                  <c:v>68.574999999999903</c:v>
                </c:pt>
                <c:pt idx="1">
                  <c:v>162.63499999999999</c:v>
                </c:pt>
                <c:pt idx="2">
                  <c:v>251.86799999999999</c:v>
                </c:pt>
                <c:pt idx="3">
                  <c:v>430.358</c:v>
                </c:pt>
                <c:pt idx="4">
                  <c:v>590.53099999999995</c:v>
                </c:pt>
                <c:pt idx="5">
                  <c:v>724.67700000000002</c:v>
                </c:pt>
                <c:pt idx="6">
                  <c:v>789.86500000000001</c:v>
                </c:pt>
                <c:pt idx="7">
                  <c:v>959.17800000000102</c:v>
                </c:pt>
                <c:pt idx="8">
                  <c:v>1085.8510000000001</c:v>
                </c:pt>
                <c:pt idx="9">
                  <c:v>1205.9459999999999</c:v>
                </c:pt>
                <c:pt idx="10">
                  <c:v>1371.7329999999999</c:v>
                </c:pt>
                <c:pt idx="11">
                  <c:v>1521.2329999999999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15-4865-BE4D-C4AB9BAA0F56}"/>
            </c:ext>
          </c:extLst>
        </c:ser>
        <c:ser>
          <c:idx val="4"/>
          <c:order val="4"/>
          <c:tx>
            <c:strRef>
              <c:f>Montlouis!$F$391</c:f>
              <c:strCache>
                <c:ptCount val="1"/>
                <c:pt idx="0">
                  <c:v>Reste à faire - ACTU 2023</c:v>
                </c:pt>
              </c:strCache>
            </c:strRef>
          </c:tx>
          <c:spPr>
            <a:ln w="57150">
              <a:solidFill>
                <a:srgbClr val="00B050"/>
              </a:solidFill>
              <a:prstDash val="dash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Montlouis!$M$384:$X$384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Montlouis!$M$391:$X$391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1521.2329999999999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15-4865-BE4D-C4AB9BAA0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729152"/>
        <c:axId val="199730688"/>
      </c:lineChart>
      <c:catAx>
        <c:axId val="199729152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199730688"/>
        <c:crosses val="autoZero"/>
        <c:auto val="1"/>
        <c:lblAlgn val="ctr"/>
        <c:lblOffset val="100"/>
        <c:noMultiLvlLbl val="0"/>
      </c:catAx>
      <c:valAx>
        <c:axId val="19973068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K€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199729152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100" baseline="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Ebit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Sani!$F$387</c:f>
              <c:strCache>
                <c:ptCount val="1"/>
                <c:pt idx="0">
                  <c:v>2021</c:v>
                </c:pt>
              </c:strCache>
            </c:strRef>
          </c:tx>
          <c:spPr>
            <a:ln w="57150">
              <a:solidFill>
                <a:schemeClr val="bg2">
                  <a:lumMod val="50000"/>
                </a:schemeClr>
              </a:solidFill>
            </a:ln>
          </c:spPr>
          <c:marker>
            <c:spPr>
              <a:solidFill>
                <a:schemeClr val="bg2">
                  <a:lumMod val="50000"/>
                </a:schemeClr>
              </a:solidFill>
              <a:ln>
                <a:solidFill>
                  <a:srgbClr val="EEECE1">
                    <a:lumMod val="50000"/>
                  </a:srgbClr>
                </a:solidFill>
              </a:ln>
            </c:spPr>
          </c:marker>
          <c:cat>
            <c:strRef>
              <c:f>Sani!$M$384:$X$384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Sani!$M$387:$X$387</c:f>
              <c:numCache>
                <c:formatCode>#,##0</c:formatCode>
                <c:ptCount val="12"/>
                <c:pt idx="0">
                  <c:v>-9.9064899999999998</c:v>
                </c:pt>
                <c:pt idx="1">
                  <c:v>-23.869009999999999</c:v>
                </c:pt>
                <c:pt idx="2">
                  <c:v>-28.759969999999999</c:v>
                </c:pt>
                <c:pt idx="3">
                  <c:v>-47.806710000000002</c:v>
                </c:pt>
                <c:pt idx="4">
                  <c:v>-42.431379999999997</c:v>
                </c:pt>
                <c:pt idx="5">
                  <c:v>-47.686500000000002</c:v>
                </c:pt>
                <c:pt idx="6">
                  <c:v>-57.515619999999998</c:v>
                </c:pt>
                <c:pt idx="7">
                  <c:v>-63.931199999999997</c:v>
                </c:pt>
                <c:pt idx="8">
                  <c:v>-48.910440000000001</c:v>
                </c:pt>
                <c:pt idx="9">
                  <c:v>-64.699000000000098</c:v>
                </c:pt>
                <c:pt idx="10">
                  <c:v>-87.601999999999904</c:v>
                </c:pt>
                <c:pt idx="11">
                  <c:v>-96.155999999999906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B-4E44-BEA3-1D6C65BA089F}"/>
            </c:ext>
          </c:extLst>
        </c:ser>
        <c:ser>
          <c:idx val="1"/>
          <c:order val="1"/>
          <c:tx>
            <c:strRef>
              <c:f>Sani!$F$388</c:f>
              <c:strCache>
                <c:ptCount val="1"/>
                <c:pt idx="0">
                  <c:v>2022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Sani!$M$384:$X$384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Sani!$M$388:$X$388</c:f>
              <c:numCache>
                <c:formatCode>#,##0</c:formatCode>
                <c:ptCount val="12"/>
                <c:pt idx="0">
                  <c:v>-8.85</c:v>
                </c:pt>
                <c:pt idx="1">
                  <c:v>-26.713000000000001</c:v>
                </c:pt>
                <c:pt idx="2">
                  <c:v>-45.076000000000001</c:v>
                </c:pt>
                <c:pt idx="3">
                  <c:v>-70.561000000000007</c:v>
                </c:pt>
                <c:pt idx="4">
                  <c:v>-87.662000000000006</c:v>
                </c:pt>
                <c:pt idx="5">
                  <c:v>-98.277000000000001</c:v>
                </c:pt>
                <c:pt idx="6">
                  <c:v>-101.916</c:v>
                </c:pt>
                <c:pt idx="7">
                  <c:v>-86.88</c:v>
                </c:pt>
                <c:pt idx="8">
                  <c:v>-85.052530000000004</c:v>
                </c:pt>
                <c:pt idx="9">
                  <c:v>-89.063999999999993</c:v>
                </c:pt>
                <c:pt idx="10">
                  <c:v>-91.590999999999994</c:v>
                </c:pt>
                <c:pt idx="11">
                  <c:v>-91.715999999999994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8B-4E44-BEA3-1D6C65BA089F}"/>
            </c:ext>
          </c:extLst>
        </c:ser>
        <c:ser>
          <c:idx val="2"/>
          <c:order val="2"/>
          <c:tx>
            <c:strRef>
              <c:f>Sani!$F$389</c:f>
              <c:strCache>
                <c:ptCount val="1"/>
                <c:pt idx="0">
                  <c:v>ACTU 2023</c:v>
                </c:pt>
              </c:strCache>
            </c:strRef>
          </c:tx>
          <c:spPr>
            <a:ln w="57150">
              <a:solidFill>
                <a:srgbClr val="C00000"/>
              </a:solidFill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Sani!$M$384:$X$384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Sani!$M$389:$X$389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8B-4E44-BEA3-1D6C65BA089F}"/>
            </c:ext>
          </c:extLst>
        </c:ser>
        <c:ser>
          <c:idx val="3"/>
          <c:order val="3"/>
          <c:tx>
            <c:strRef>
              <c:f>Sani!$F$390</c:f>
              <c:strCache>
                <c:ptCount val="1"/>
                <c:pt idx="0">
                  <c:v>2023</c:v>
                </c:pt>
              </c:strCache>
            </c:strRef>
          </c:tx>
          <c:spPr>
            <a:ln w="57150"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strRef>
              <c:f>Sani!$M$384:$X$384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Sani!$M$390:$X$390</c:f>
              <c:numCache>
                <c:formatCode>#,##0</c:formatCode>
                <c:ptCount val="12"/>
                <c:pt idx="0">
                  <c:v>3.081</c:v>
                </c:pt>
                <c:pt idx="1">
                  <c:v>-7.3319999999999999</c:v>
                </c:pt>
                <c:pt idx="2">
                  <c:v>-10.59</c:v>
                </c:pt>
                <c:pt idx="3">
                  <c:v>-11.005000000000001</c:v>
                </c:pt>
                <c:pt idx="4">
                  <c:v>-10.826000000000001</c:v>
                </c:pt>
                <c:pt idx="5">
                  <c:v>-11.102</c:v>
                </c:pt>
                <c:pt idx="6">
                  <c:v>-11.513</c:v>
                </c:pt>
                <c:pt idx="7">
                  <c:v>-11.832000000000001</c:v>
                </c:pt>
                <c:pt idx="8">
                  <c:v>-12.561</c:v>
                </c:pt>
                <c:pt idx="9">
                  <c:v>-11.864000000000001</c:v>
                </c:pt>
                <c:pt idx="10">
                  <c:v>-12.49</c:v>
                </c:pt>
                <c:pt idx="11">
                  <c:v>-12.031000000000001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8B-4E44-BEA3-1D6C65BA089F}"/>
            </c:ext>
          </c:extLst>
        </c:ser>
        <c:ser>
          <c:idx val="4"/>
          <c:order val="4"/>
          <c:tx>
            <c:strRef>
              <c:f>Sani!$F$391</c:f>
              <c:strCache>
                <c:ptCount val="1"/>
                <c:pt idx="0">
                  <c:v>Reste à faire - ACTU 2023</c:v>
                </c:pt>
              </c:strCache>
            </c:strRef>
          </c:tx>
          <c:spPr>
            <a:ln w="57150">
              <a:solidFill>
                <a:srgbClr val="00B050"/>
              </a:solidFill>
              <a:prstDash val="dash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Sani!$M$384:$X$384</c:f>
              <c:strCache>
                <c:ptCount val="12"/>
                <c:pt idx="0">
                  <c:v>Janv.</c:v>
                </c:pt>
                <c:pt idx="1">
                  <c:v>Fév.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Juil.</c:v>
                </c:pt>
                <c:pt idx="7">
                  <c:v>Aôut</c:v>
                </c:pt>
                <c:pt idx="8">
                  <c:v>Sept.</c:v>
                </c:pt>
                <c:pt idx="9">
                  <c:v>Oct.</c:v>
                </c:pt>
                <c:pt idx="10">
                  <c:v>Nov.</c:v>
                </c:pt>
                <c:pt idx="11">
                  <c:v>Déc.</c:v>
                </c:pt>
              </c:strCache>
            </c:strRef>
          </c:cat>
          <c:val>
            <c:numRef>
              <c:f>Sani!$M$391:$X$391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-12.031000000000001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8B-4E44-BEA3-1D6C65BA0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85664"/>
        <c:axId val="203987584"/>
      </c:lineChart>
      <c:catAx>
        <c:axId val="203985664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03987584"/>
        <c:crosses val="autoZero"/>
        <c:auto val="1"/>
        <c:lblAlgn val="ctr"/>
        <c:lblOffset val="100"/>
        <c:noMultiLvlLbl val="0"/>
      </c:catAx>
      <c:valAx>
        <c:axId val="20398758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K€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low"/>
        <c:txPr>
          <a:bodyPr/>
          <a:lstStyle/>
          <a:p>
            <a:pPr>
              <a:defRPr sz="1050" b="1" i="0" baseline="0"/>
            </a:pPr>
            <a:endParaRPr lang="fr-FR"/>
          </a:p>
        </c:txPr>
        <c:crossAx val="20398566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100" baseline="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303</xdr:row>
      <xdr:rowOff>0</xdr:rowOff>
    </xdr:from>
    <xdr:to>
      <xdr:col>30</xdr:col>
      <xdr:colOff>584200</xdr:colOff>
      <xdr:row>347</xdr:row>
      <xdr:rowOff>101600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27214</xdr:colOff>
      <xdr:row>302</xdr:row>
      <xdr:rowOff>81643</xdr:rowOff>
    </xdr:from>
    <xdr:to>
      <xdr:col>27</xdr:col>
      <xdr:colOff>530679</xdr:colOff>
      <xdr:row>348</xdr:row>
      <xdr:rowOff>33564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176892</xdr:colOff>
      <xdr:row>302</xdr:row>
      <xdr:rowOff>68035</xdr:rowOff>
    </xdr:from>
    <xdr:to>
      <xdr:col>29</xdr:col>
      <xdr:colOff>0</xdr:colOff>
      <xdr:row>348</xdr:row>
      <xdr:rowOff>19958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68037</xdr:colOff>
      <xdr:row>302</xdr:row>
      <xdr:rowOff>122465</xdr:rowOff>
    </xdr:from>
    <xdr:to>
      <xdr:col>27</xdr:col>
      <xdr:colOff>544287</xdr:colOff>
      <xdr:row>348</xdr:row>
      <xdr:rowOff>19958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163285</xdr:colOff>
      <xdr:row>303</xdr:row>
      <xdr:rowOff>54428</xdr:rowOff>
    </xdr:from>
    <xdr:to>
      <xdr:col>27</xdr:col>
      <xdr:colOff>530679</xdr:colOff>
      <xdr:row>348</xdr:row>
      <xdr:rowOff>87993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149678</xdr:colOff>
      <xdr:row>303</xdr:row>
      <xdr:rowOff>40821</xdr:rowOff>
    </xdr:from>
    <xdr:to>
      <xdr:col>27</xdr:col>
      <xdr:colOff>517072</xdr:colOff>
      <xdr:row>348</xdr:row>
      <xdr:rowOff>74386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289</xdr:row>
      <xdr:rowOff>0</xdr:rowOff>
    </xdr:from>
    <xdr:to>
      <xdr:col>29</xdr:col>
      <xdr:colOff>584200</xdr:colOff>
      <xdr:row>333</xdr:row>
      <xdr:rowOff>101600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13608</xdr:colOff>
      <xdr:row>303</xdr:row>
      <xdr:rowOff>40822</xdr:rowOff>
    </xdr:from>
    <xdr:to>
      <xdr:col>27</xdr:col>
      <xdr:colOff>503464</xdr:colOff>
      <xdr:row>348</xdr:row>
      <xdr:rowOff>87994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163287</xdr:colOff>
      <xdr:row>303</xdr:row>
      <xdr:rowOff>13608</xdr:rowOff>
    </xdr:from>
    <xdr:to>
      <xdr:col>28</xdr:col>
      <xdr:colOff>1</xdr:colOff>
      <xdr:row>348</xdr:row>
      <xdr:rowOff>87994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27214</xdr:colOff>
      <xdr:row>303</xdr:row>
      <xdr:rowOff>54428</xdr:rowOff>
    </xdr:from>
    <xdr:to>
      <xdr:col>27</xdr:col>
      <xdr:colOff>476250</xdr:colOff>
      <xdr:row>348</xdr:row>
      <xdr:rowOff>19958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IP/1%20-%20IDF-NDI/Fiches%20Suiveuses/Fiches%20Suiveuses_2018_IDF_Secteur%20Chauff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ètre"/>
      <sheetName val="Contrôle"/>
      <sheetName val="Secteur Chauffage"/>
      <sheetName val="Agences BTB Chauffage"/>
      <sheetName val="Agences BTC Chauffage"/>
      <sheetName val="Guyancourt Coll + Ind"/>
      <sheetName val="Guyancourt Coll"/>
      <sheetName val="Guyancourt Ind"/>
      <sheetName val="Plessis Coll+Ind"/>
      <sheetName val="Plessis Coll"/>
      <sheetName val="Plessis Ind"/>
      <sheetName val="Noisy Coll+Ind"/>
      <sheetName val="Noisy Coll"/>
      <sheetName val="Noisy Ind"/>
      <sheetName val="Villepinte"/>
      <sheetName val="République"/>
      <sheetName val="Easy"/>
    </sheetNames>
    <sheetDataSet>
      <sheetData sheetId="0" refreshError="1">
        <row r="6">
          <cell r="H6" t="str">
            <v>11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L387"/>
  <sheetViews>
    <sheetView showGridLines="0" topLeftCell="F7" zoomScale="80" zoomScaleNormal="80" zoomScaleSheetLayoutView="75" workbookViewId="0">
      <selection activeCell="Y11" sqref="Y11"/>
    </sheetView>
  </sheetViews>
  <sheetFormatPr baseColWidth="10" defaultRowHeight="12.75" outlineLevelRow="1" outlineLevelCol="1" x14ac:dyDescent="0.2"/>
  <cols>
    <col min="1" max="1" width="25.7109375" style="128" hidden="1" customWidth="1" outlineLevel="1"/>
    <col min="2" max="2" width="28.28515625" style="128" hidden="1" customWidth="1" outlineLevel="1"/>
    <col min="3" max="3" width="26.85546875" style="128" hidden="1" customWidth="1" outlineLevel="1"/>
    <col min="4" max="5" width="12.5703125" style="128" hidden="1" customWidth="1" outlineLevel="1"/>
    <col min="6" max="6" width="2.7109375" style="128" customWidth="1" collapsed="1"/>
    <col min="7" max="7" width="28.5703125" style="141" bestFit="1" customWidth="1"/>
    <col min="8" max="8" width="1.140625" style="128" customWidth="1"/>
    <col min="9" max="11" width="10.140625" style="128" customWidth="1"/>
    <col min="12" max="12" width="10.5703125" style="128" customWidth="1" outlineLevel="1"/>
    <col min="13" max="13" width="10.140625" style="128" customWidth="1"/>
    <col min="14" max="25" width="8.7109375" style="128" customWidth="1"/>
    <col min="26" max="26" width="10.140625" style="128" customWidth="1"/>
    <col min="27" max="27" width="1.140625" style="128" customWidth="1"/>
    <col min="28" max="28" width="10.140625" style="128" customWidth="1"/>
    <col min="29" max="29" width="10" style="141" customWidth="1"/>
    <col min="30" max="30" width="1.140625" style="128" customWidth="1"/>
    <col min="31" max="31" width="10.140625" style="128" customWidth="1" outlineLevel="1"/>
    <col min="32" max="32" width="10" style="141" customWidth="1" outlineLevel="1"/>
    <col min="33" max="33" width="11.42578125" style="128"/>
    <col min="34" max="34" width="11.85546875" style="128" hidden="1" customWidth="1" outlineLevel="1"/>
    <col min="35" max="35" width="3.7109375" style="128" hidden="1" customWidth="1" outlineLevel="1"/>
    <col min="36" max="37" width="10.140625" style="128" hidden="1" customWidth="1" outlineLevel="1"/>
    <col min="38" max="38" width="11.42578125" style="128" collapsed="1"/>
    <col min="39" max="16384" width="11.42578125" style="128"/>
  </cols>
  <sheetData>
    <row r="1" spans="1:37" hidden="1" outlineLevel="1" x14ac:dyDescent="0.2">
      <c r="B1" s="141" t="s">
        <v>3</v>
      </c>
      <c r="C1" s="141"/>
      <c r="N1" s="142" t="s">
        <v>5</v>
      </c>
      <c r="O1" s="142" t="s">
        <v>6</v>
      </c>
      <c r="P1" s="142" t="s">
        <v>7</v>
      </c>
      <c r="Q1" s="142" t="s">
        <v>8</v>
      </c>
      <c r="R1" s="142" t="s">
        <v>9</v>
      </c>
      <c r="S1" s="142" t="s">
        <v>10</v>
      </c>
      <c r="T1" s="142" t="s">
        <v>321</v>
      </c>
      <c r="U1" s="142" t="s">
        <v>11</v>
      </c>
      <c r="V1" s="142" t="s">
        <v>12</v>
      </c>
      <c r="W1" s="142" t="s">
        <v>13</v>
      </c>
      <c r="X1" s="142" t="s">
        <v>14</v>
      </c>
      <c r="Y1" s="142" t="s">
        <v>15</v>
      </c>
    </row>
    <row r="2" spans="1:37" hidden="1" outlineLevel="1" x14ac:dyDescent="0.2">
      <c r="B2" s="141" t="s">
        <v>4</v>
      </c>
      <c r="C2" s="141"/>
      <c r="I2" s="143" t="e">
        <f>#REF!</f>
        <v>#REF!</v>
      </c>
      <c r="J2" s="143" t="e">
        <f>#REF!</f>
        <v>#REF!</v>
      </c>
      <c r="K2" s="143" t="e">
        <f>#REF!</f>
        <v>#REF!</v>
      </c>
      <c r="L2" s="143" t="e">
        <f>#REF!</f>
        <v>#REF!</v>
      </c>
      <c r="M2" s="143" t="e">
        <f>#REF!</f>
        <v>#REF!</v>
      </c>
      <c r="N2" s="144" t="e">
        <f>N$1&lt;=#REF!</f>
        <v>#REF!</v>
      </c>
      <c r="O2" s="144" t="e">
        <f>O$1&lt;=#REF!</f>
        <v>#REF!</v>
      </c>
      <c r="P2" s="144" t="e">
        <f>P$1&lt;=#REF!</f>
        <v>#REF!</v>
      </c>
      <c r="Q2" s="144" t="e">
        <f>Q$1&lt;=#REF!</f>
        <v>#REF!</v>
      </c>
      <c r="R2" s="144" t="e">
        <f>R$1&lt;=#REF!</f>
        <v>#REF!</v>
      </c>
      <c r="S2" s="144" t="e">
        <f>S$1&lt;=#REF!</f>
        <v>#REF!</v>
      </c>
      <c r="T2" s="144" t="e">
        <f>T$1&lt;=#REF!</f>
        <v>#REF!</v>
      </c>
      <c r="U2" s="144" t="e">
        <f>U$1&lt;=#REF!</f>
        <v>#REF!</v>
      </c>
      <c r="V2" s="144" t="e">
        <f>V$1&lt;=#REF!</f>
        <v>#REF!</v>
      </c>
      <c r="W2" s="144" t="e">
        <f>W$1&lt;=#REF!</f>
        <v>#REF!</v>
      </c>
      <c r="X2" s="144" t="e">
        <f>X$1&lt;=#REF!</f>
        <v>#REF!</v>
      </c>
      <c r="Y2" s="144" t="e">
        <f>Y$1&lt;=#REF!</f>
        <v>#REF!</v>
      </c>
      <c r="Z2" s="143" t="s">
        <v>33</v>
      </c>
      <c r="AC2" s="145">
        <v>-0.15</v>
      </c>
      <c r="AF2" s="145">
        <v>-0.15</v>
      </c>
      <c r="AJ2" s="143"/>
      <c r="AK2" s="143"/>
    </row>
    <row r="3" spans="1:37" hidden="1" outlineLevel="1" x14ac:dyDescent="0.2">
      <c r="B3" s="141" t="str">
        <f>CONCATENATE("RU sum ",$G$9)</f>
        <v>RU sum Contrôle Ebit</v>
      </c>
      <c r="C3" s="141"/>
      <c r="I3" s="146" t="e">
        <f>"FL="&amp;#REF!</f>
        <v>#REF!</v>
      </c>
      <c r="J3" s="146" t="e">
        <f>"FL="&amp;#REF!</f>
        <v>#REF!</v>
      </c>
      <c r="K3" s="146" t="e">
        <f>"FL="&amp;#REF!</f>
        <v>#REF!</v>
      </c>
      <c r="L3" s="146" t="e">
        <f>"FL="&amp;#REF!</f>
        <v>#REF!</v>
      </c>
      <c r="M3" s="146" t="e">
        <f>"FL="&amp;#REF!</f>
        <v>#REF!</v>
      </c>
      <c r="N3" s="146" t="e">
        <f>"FL="&amp;#REF!</f>
        <v>#REF!</v>
      </c>
      <c r="O3" s="146" t="e">
        <f>"FL="&amp;#REF!</f>
        <v>#REF!</v>
      </c>
      <c r="P3" s="146" t="e">
        <f>"FL="&amp;#REF!</f>
        <v>#REF!</v>
      </c>
      <c r="Q3" s="146" t="e">
        <f>"FL="&amp;#REF!</f>
        <v>#REF!</v>
      </c>
      <c r="R3" s="146" t="e">
        <f>"FL="&amp;#REF!</f>
        <v>#REF!</v>
      </c>
      <c r="S3" s="146" t="e">
        <f>"FL="&amp;#REF!</f>
        <v>#REF!</v>
      </c>
      <c r="T3" s="146" t="e">
        <f>"FL="&amp;#REF!</f>
        <v>#REF!</v>
      </c>
      <c r="U3" s="146" t="e">
        <f>"FL="&amp;#REF!</f>
        <v>#REF!</v>
      </c>
      <c r="V3" s="146" t="e">
        <f>"FL="&amp;#REF!</f>
        <v>#REF!</v>
      </c>
      <c r="W3" s="146" t="e">
        <f>"FL="&amp;#REF!</f>
        <v>#REF!</v>
      </c>
      <c r="X3" s="146" t="e">
        <f>"FL="&amp;#REF!</f>
        <v>#REF!</v>
      </c>
      <c r="Y3" s="146" t="e">
        <f>"FL="&amp;#REF!</f>
        <v>#REF!</v>
      </c>
      <c r="Z3" s="146" t="e">
        <f>"FL="&amp;#REF!</f>
        <v>#REF!</v>
      </c>
      <c r="AJ3" s="146"/>
      <c r="AK3" s="146"/>
    </row>
    <row r="4" spans="1:37" hidden="1" outlineLevel="1" x14ac:dyDescent="0.2">
      <c r="B4" s="147" t="e">
        <f>"DP="&amp;#REF!-1&amp;"."&amp;#REF!</f>
        <v>#REF!</v>
      </c>
      <c r="C4" s="141"/>
      <c r="I4" s="146" t="e">
        <f>"CA="&amp;#REF!</f>
        <v>#REF!</v>
      </c>
      <c r="J4" s="146" t="e">
        <f>"CA="&amp;#REF!</f>
        <v>#REF!</v>
      </c>
      <c r="K4" s="146" t="e">
        <f>"CA="&amp;#REF!</f>
        <v>#REF!</v>
      </c>
      <c r="L4" s="146" t="e">
        <f>"CA="&amp;#REF!</f>
        <v>#REF!</v>
      </c>
      <c r="M4" s="146" t="e">
        <f>"CA="&amp;#REF!</f>
        <v>#REF!</v>
      </c>
      <c r="N4" s="146" t="e">
        <f>"CA="&amp;#REF!</f>
        <v>#REF!</v>
      </c>
      <c r="O4" s="146" t="e">
        <f>"CA="&amp;#REF!</f>
        <v>#REF!</v>
      </c>
      <c r="P4" s="146" t="e">
        <f>"CA="&amp;#REF!</f>
        <v>#REF!</v>
      </c>
      <c r="Q4" s="146" t="e">
        <f>"CA="&amp;#REF!</f>
        <v>#REF!</v>
      </c>
      <c r="R4" s="146" t="e">
        <f>"CA="&amp;#REF!</f>
        <v>#REF!</v>
      </c>
      <c r="S4" s="146" t="e">
        <f>"CA="&amp;#REF!</f>
        <v>#REF!</v>
      </c>
      <c r="T4" s="146" t="e">
        <f>"CA="&amp;#REF!</f>
        <v>#REF!</v>
      </c>
      <c r="U4" s="146" t="e">
        <f>"CA="&amp;#REF!</f>
        <v>#REF!</v>
      </c>
      <c r="V4" s="146" t="e">
        <f>"CA="&amp;#REF!</f>
        <v>#REF!</v>
      </c>
      <c r="W4" s="146" t="e">
        <f>"CA="&amp;#REF!</f>
        <v>#REF!</v>
      </c>
      <c r="X4" s="146" t="e">
        <f>"CA="&amp;#REF!</f>
        <v>#REF!</v>
      </c>
      <c r="Y4" s="146" t="e">
        <f>"CA="&amp;#REF!</f>
        <v>#REF!</v>
      </c>
      <c r="Z4" s="146" t="e">
        <f>"CA="&amp;#REF!</f>
        <v>#REF!</v>
      </c>
      <c r="AC4" s="148"/>
      <c r="AF4" s="148"/>
      <c r="AJ4" s="146"/>
      <c r="AK4" s="146"/>
    </row>
    <row r="5" spans="1:37" hidden="1" outlineLevel="1" x14ac:dyDescent="0.2">
      <c r="C5" s="141"/>
      <c r="I5" s="146" t="e">
        <f>"DP="&amp;#REF!&amp;"."&amp;#REF!</f>
        <v>#REF!</v>
      </c>
      <c r="J5" s="146" t="e">
        <f>"DP="&amp;#REF!&amp;"."&amp;#REF!</f>
        <v>#REF!</v>
      </c>
      <c r="K5" s="146" t="e">
        <f>"DP="&amp;#REF!&amp;"."&amp;#REF!</f>
        <v>#REF!</v>
      </c>
      <c r="L5" s="146" t="e">
        <f>"DP="&amp;#REF!&amp;"."&amp;#REF!</f>
        <v>#REF!</v>
      </c>
      <c r="M5" s="146" t="e">
        <f>"DP="&amp;#REF!&amp;"."&amp;#REF!</f>
        <v>#REF!</v>
      </c>
      <c r="N5" s="146" t="e">
        <f>IF(N$1&lt;=#REF!,"DP="&amp;#REF!&amp;"."&amp;N$1,"")</f>
        <v>#REF!</v>
      </c>
      <c r="O5" s="146" t="e">
        <f>IF(O$1&lt;=#REF!,"DP="&amp;#REF!&amp;"."&amp;O$1,"")</f>
        <v>#REF!</v>
      </c>
      <c r="P5" s="146" t="e">
        <f>IF(P$1&lt;=#REF!,"DP="&amp;#REF!&amp;"."&amp;P$1,"")</f>
        <v>#REF!</v>
      </c>
      <c r="Q5" s="146" t="e">
        <f>IF(Q$1&lt;=#REF!,"DP="&amp;#REF!&amp;"."&amp;Q$1,"")</f>
        <v>#REF!</v>
      </c>
      <c r="R5" s="146" t="e">
        <f>IF(R$1&lt;=#REF!,"DP="&amp;#REF!&amp;"."&amp;R$1,"")</f>
        <v>#REF!</v>
      </c>
      <c r="S5" s="146" t="e">
        <f>IF(S$1&lt;=#REF!,"DP="&amp;#REF!&amp;"."&amp;S$1,"")</f>
        <v>#REF!</v>
      </c>
      <c r="T5" s="146" t="e">
        <f>IF(T$1&lt;=#REF!,"DP="&amp;#REF!&amp;"."&amp;T$1,"")</f>
        <v>#REF!</v>
      </c>
      <c r="U5" s="146" t="e">
        <f>IF(U$1&lt;=#REF!,"DP="&amp;#REF!&amp;"."&amp;U$1,"")</f>
        <v>#REF!</v>
      </c>
      <c r="V5" s="146" t="e">
        <f>IF(V$1&lt;=#REF!,"DP="&amp;#REF!&amp;"."&amp;V$1,"")</f>
        <v>#REF!</v>
      </c>
      <c r="W5" s="146" t="e">
        <f>IF(W$1&lt;=#REF!,"DP="&amp;#REF!&amp;"."&amp;W$1,"")</f>
        <v>#REF!</v>
      </c>
      <c r="X5" s="146" t="e">
        <f>IF(X$1&lt;=#REF!,"DP="&amp;#REF!&amp;"."&amp;X$1,"")</f>
        <v>#REF!</v>
      </c>
      <c r="Y5" s="146" t="e">
        <f>IF(Y$1&lt;=#REF!,"DP="&amp;#REF!&amp;"."&amp;Y$1,"")</f>
        <v>#REF!</v>
      </c>
      <c r="Z5" s="146" t="e">
        <f>"DP="&amp;#REF!&amp;"."&amp;#REF!</f>
        <v>#REF!</v>
      </c>
      <c r="AC5" s="148"/>
      <c r="AF5" s="148"/>
      <c r="AJ5" s="146"/>
      <c r="AK5" s="146"/>
    </row>
    <row r="6" spans="1:37" hidden="1" outlineLevel="1" x14ac:dyDescent="0.2">
      <c r="H6" s="141"/>
      <c r="I6" s="141"/>
      <c r="J6" s="128" t="e">
        <f>IF(#REF!=0,"nok","")</f>
        <v>#REF!</v>
      </c>
      <c r="K6" s="128" t="e">
        <f>IF(#REF!=0,"nok","")</f>
        <v>#REF!</v>
      </c>
      <c r="L6" s="128" t="e">
        <f>IF(#REF!=0,"nok","")</f>
        <v>#REF!</v>
      </c>
      <c r="M6" s="128" t="e">
        <f>IF(#REF!=0,"nok","")</f>
        <v>#REF!</v>
      </c>
    </row>
    <row r="7" spans="1:37" collapsed="1" x14ac:dyDescent="0.2">
      <c r="G7" s="149"/>
      <c r="N7" s="150"/>
    </row>
    <row r="8" spans="1:37" s="21" customFormat="1" ht="7.5" customHeight="1" x14ac:dyDescent="0.2">
      <c r="G8" s="22"/>
      <c r="K8" s="24"/>
      <c r="L8" s="24"/>
      <c r="M8" s="24"/>
      <c r="AA8" s="128"/>
      <c r="AB8" s="24"/>
      <c r="AC8" s="22"/>
      <c r="AE8" s="24"/>
      <c r="AF8" s="22"/>
    </row>
    <row r="9" spans="1:37" ht="12.75" customHeight="1" x14ac:dyDescent="0.2">
      <c r="G9" s="288" t="s">
        <v>393</v>
      </c>
      <c r="H9" s="151"/>
      <c r="I9" s="152" t="s">
        <v>1</v>
      </c>
      <c r="J9" s="152" t="s">
        <v>1</v>
      </c>
      <c r="K9" s="152" t="s">
        <v>1</v>
      </c>
      <c r="L9" s="153" t="s">
        <v>380</v>
      </c>
      <c r="M9" s="153" t="s">
        <v>449</v>
      </c>
      <c r="N9" s="154" t="s">
        <v>1</v>
      </c>
      <c r="O9" s="154" t="s">
        <v>1</v>
      </c>
      <c r="P9" s="154" t="s">
        <v>1</v>
      </c>
      <c r="Q9" s="154" t="s">
        <v>1</v>
      </c>
      <c r="R9" s="154" t="s">
        <v>1</v>
      </c>
      <c r="S9" s="154" t="s">
        <v>1</v>
      </c>
      <c r="T9" s="154" t="s">
        <v>1</v>
      </c>
      <c r="U9" s="154" t="s">
        <v>1</v>
      </c>
      <c r="V9" s="154" t="s">
        <v>1</v>
      </c>
      <c r="W9" s="154" t="s">
        <v>1</v>
      </c>
      <c r="X9" s="154" t="s">
        <v>1</v>
      </c>
      <c r="Y9" s="154" t="s">
        <v>1</v>
      </c>
      <c r="Z9" s="155" t="s">
        <v>1</v>
      </c>
      <c r="AB9" s="289" t="s">
        <v>482</v>
      </c>
      <c r="AC9" s="291" t="s">
        <v>483</v>
      </c>
      <c r="AD9" s="151"/>
      <c r="AE9" s="289" t="s">
        <v>484</v>
      </c>
      <c r="AF9" s="291" t="s">
        <v>485</v>
      </c>
      <c r="AH9" s="293" t="s">
        <v>394</v>
      </c>
      <c r="AJ9" s="286" t="s">
        <v>224</v>
      </c>
      <c r="AK9" s="286" t="s">
        <v>99</v>
      </c>
    </row>
    <row r="10" spans="1:37" ht="12.75" customHeight="1" x14ac:dyDescent="0.2">
      <c r="G10" s="288"/>
      <c r="H10" s="151"/>
      <c r="I10" s="156" t="s">
        <v>486</v>
      </c>
      <c r="J10" s="156" t="s">
        <v>487</v>
      </c>
      <c r="K10" s="156" t="s">
        <v>487</v>
      </c>
      <c r="L10" s="157" t="s">
        <v>450</v>
      </c>
      <c r="M10" s="157" t="s">
        <v>450</v>
      </c>
      <c r="N10" s="158" t="s">
        <v>5</v>
      </c>
      <c r="O10" s="158" t="s">
        <v>6</v>
      </c>
      <c r="P10" s="158" t="s">
        <v>7</v>
      </c>
      <c r="Q10" s="158" t="s">
        <v>8</v>
      </c>
      <c r="R10" s="158" t="s">
        <v>9</v>
      </c>
      <c r="S10" s="158" t="s">
        <v>10</v>
      </c>
      <c r="T10" s="158" t="s">
        <v>321</v>
      </c>
      <c r="U10" s="158" t="s">
        <v>11</v>
      </c>
      <c r="V10" s="158" t="s">
        <v>12</v>
      </c>
      <c r="W10" s="158" t="s">
        <v>13</v>
      </c>
      <c r="X10" s="158" t="s">
        <v>14</v>
      </c>
      <c r="Y10" s="158" t="s">
        <v>15</v>
      </c>
      <c r="Z10" s="159" t="s">
        <v>488</v>
      </c>
      <c r="AB10" s="290"/>
      <c r="AC10" s="292"/>
      <c r="AD10" s="151"/>
      <c r="AE10" s="290"/>
      <c r="AF10" s="292"/>
      <c r="AH10" s="294"/>
      <c r="AJ10" s="287"/>
      <c r="AK10" s="287"/>
    </row>
    <row r="11" spans="1:37" ht="18" customHeight="1" x14ac:dyDescent="0.2">
      <c r="A11" s="160" t="s">
        <v>410</v>
      </c>
      <c r="B11" s="161" t="s">
        <v>30</v>
      </c>
      <c r="C11" s="161" t="s">
        <v>17</v>
      </c>
      <c r="D11" s="162">
        <f t="shared" ref="D11:D20" si="0">IF(AND($Z11=0,AB11=0),0,IF(AB11=0,IF($Z11&gt;=0,AC11/$Z11,-AC11/$Z11),IF(AB11&gt;=0,AC11/AB11,-AC11/AB11)))</f>
        <v>0.12843532803507293</v>
      </c>
      <c r="E11" s="162">
        <f t="shared" ref="E11:E20" si="1">IF(AND($Z11=0,AE11=0),0,IF(AE11=0,IF($Z11&gt;=0,AF11/$Z11,-AF11/$Z11),IF(AE11&gt;=0,AF11/AE11,-AF11/AE11)))</f>
        <v>6.8320400695967176E-2</v>
      </c>
      <c r="G11" s="163" t="s">
        <v>385</v>
      </c>
      <c r="I11" s="164">
        <v>1613.347</v>
      </c>
      <c r="J11" s="164">
        <v>1860.7919999999999</v>
      </c>
      <c r="K11" s="164">
        <v>1860.7919999999999</v>
      </c>
      <c r="L11" s="165">
        <v>1561.56412</v>
      </c>
      <c r="M11" s="165">
        <v>1649.4341199999999</v>
      </c>
      <c r="N11" s="164">
        <v>140.64099999999999</v>
      </c>
      <c r="O11" s="164">
        <v>73.600000000000023</v>
      </c>
      <c r="P11" s="164">
        <v>49.747999999999962</v>
      </c>
      <c r="Q11" s="164">
        <v>156.67600000000004</v>
      </c>
      <c r="R11" s="164">
        <v>207.54199999999997</v>
      </c>
      <c r="S11" s="164">
        <v>159.81899999999996</v>
      </c>
      <c r="T11" s="164">
        <v>186.125</v>
      </c>
      <c r="U11" s="164">
        <v>192.58500000000015</v>
      </c>
      <c r="V11" s="164">
        <v>150.06099999999992</v>
      </c>
      <c r="W11" s="164">
        <v>112.54600000000005</v>
      </c>
      <c r="X11" s="164">
        <v>143.70899999999983</v>
      </c>
      <c r="Y11" s="164">
        <v>189.07600000000002</v>
      </c>
      <c r="Z11" s="164">
        <v>1762.1279999999999</v>
      </c>
      <c r="AB11" s="164">
        <v>1561.56412</v>
      </c>
      <c r="AC11" s="166">
        <v>200.56</v>
      </c>
      <c r="AD11" s="178"/>
      <c r="AE11" s="164">
        <v>1649.4341199999999</v>
      </c>
      <c r="AF11" s="166">
        <v>112.69</v>
      </c>
      <c r="AH11" s="167" t="e">
        <f>(M11-Z11)/IFERROR((12-#REF!),0)</f>
        <v>#DIV/0!</v>
      </c>
      <c r="AJ11" s="173">
        <f>Bonneuil!$AE$297</f>
        <v>112.69</v>
      </c>
      <c r="AK11" s="177">
        <f>AF11-AJ11</f>
        <v>0</v>
      </c>
    </row>
    <row r="12" spans="1:37" ht="18" customHeight="1" x14ac:dyDescent="0.2">
      <c r="A12" s="160" t="s">
        <v>412</v>
      </c>
      <c r="B12" s="161" t="s">
        <v>30</v>
      </c>
      <c r="C12" s="161" t="s">
        <v>17</v>
      </c>
      <c r="D12" s="162">
        <f t="shared" si="0"/>
        <v>9.3574563816545706E-2</v>
      </c>
      <c r="E12" s="162">
        <f t="shared" si="1"/>
        <v>-6.1419777737275402E-3</v>
      </c>
      <c r="G12" s="163" t="s">
        <v>384</v>
      </c>
      <c r="I12" s="164">
        <v>980.18299999999999</v>
      </c>
      <c r="J12" s="164">
        <v>1120.6500000000001</v>
      </c>
      <c r="K12" s="164">
        <v>1120.6500000000001</v>
      </c>
      <c r="L12" s="165">
        <v>1182.2657300000001</v>
      </c>
      <c r="M12" s="165">
        <v>1300.8839</v>
      </c>
      <c r="N12" s="164">
        <v>-19.077000000000002</v>
      </c>
      <c r="O12" s="164">
        <v>31.856000000000002</v>
      </c>
      <c r="P12" s="164">
        <v>47.076999999999899</v>
      </c>
      <c r="Q12" s="164">
        <v>114.15000000000011</v>
      </c>
      <c r="R12" s="164">
        <v>268.98599999999999</v>
      </c>
      <c r="S12" s="164">
        <v>138.66899999999998</v>
      </c>
      <c r="T12" s="164">
        <v>98.948000000000093</v>
      </c>
      <c r="U12" s="164">
        <v>149.93100000000095</v>
      </c>
      <c r="V12" s="164">
        <v>102.31299999999896</v>
      </c>
      <c r="W12" s="164">
        <v>162.57500000000016</v>
      </c>
      <c r="X12" s="164">
        <v>90.638999999999896</v>
      </c>
      <c r="Y12" s="164">
        <v>106.82500000000005</v>
      </c>
      <c r="Z12" s="164">
        <v>1292.8920000000001</v>
      </c>
      <c r="AB12" s="164">
        <v>1182.2657300000001</v>
      </c>
      <c r="AC12" s="166">
        <v>110.63</v>
      </c>
      <c r="AD12" s="178"/>
      <c r="AE12" s="164">
        <v>1300.8839</v>
      </c>
      <c r="AF12" s="166">
        <v>-7.99</v>
      </c>
      <c r="AH12" s="167" t="e">
        <f>(M12-Z12)/IFERROR((12-#REF!),0)</f>
        <v>#DIV/0!</v>
      </c>
      <c r="AJ12" s="173">
        <f>Stains!$AE$297</f>
        <v>-7.99</v>
      </c>
      <c r="AK12" s="177">
        <f t="shared" ref="AK12:AK20" si="2">AF12-AJ12</f>
        <v>0</v>
      </c>
    </row>
    <row r="13" spans="1:37" ht="18" customHeight="1" x14ac:dyDescent="0.2">
      <c r="A13" s="160" t="s">
        <v>414</v>
      </c>
      <c r="B13" s="161" t="s">
        <v>30</v>
      </c>
      <c r="C13" s="161" t="s">
        <v>17</v>
      </c>
      <c r="D13" s="162">
        <f t="shared" si="0"/>
        <v>9.0283876918359957E-2</v>
      </c>
      <c r="E13" s="162">
        <f t="shared" si="1"/>
        <v>-3.2815298575547866E-2</v>
      </c>
      <c r="G13" s="163" t="s">
        <v>383</v>
      </c>
      <c r="I13" s="164">
        <v>799.71300000000099</v>
      </c>
      <c r="J13" s="164">
        <v>890.29100000000005</v>
      </c>
      <c r="K13" s="164">
        <v>890.29100000000005</v>
      </c>
      <c r="L13" s="165">
        <v>979.13385000000096</v>
      </c>
      <c r="M13" s="165">
        <v>1103.7534800000001</v>
      </c>
      <c r="N13" s="164">
        <v>49.564</v>
      </c>
      <c r="O13" s="164">
        <v>31.231999999999907</v>
      </c>
      <c r="P13" s="164">
        <v>47.219000000000079</v>
      </c>
      <c r="Q13" s="164">
        <v>122.17500000000001</v>
      </c>
      <c r="R13" s="164">
        <v>188.89999999999998</v>
      </c>
      <c r="S13" s="164">
        <v>51.538000000000011</v>
      </c>
      <c r="T13" s="164">
        <v>159.47999999999996</v>
      </c>
      <c r="U13" s="164">
        <v>146.89200000000005</v>
      </c>
      <c r="V13" s="164">
        <v>42.464999999999009</v>
      </c>
      <c r="W13" s="164">
        <v>66.936000000000945</v>
      </c>
      <c r="X13" s="164">
        <v>65.770999999999049</v>
      </c>
      <c r="Y13" s="164">
        <v>95.360000000000923</v>
      </c>
      <c r="Z13" s="164">
        <v>1067.5319999999999</v>
      </c>
      <c r="AB13" s="164">
        <v>979.13385000000096</v>
      </c>
      <c r="AC13" s="166">
        <v>88.4</v>
      </c>
      <c r="AD13" s="178"/>
      <c r="AE13" s="164">
        <v>1103.7534800000001</v>
      </c>
      <c r="AF13" s="166">
        <v>-36.22</v>
      </c>
      <c r="AH13" s="167" t="e">
        <f>(M13-Z13)/IFERROR((12-#REF!),0)</f>
        <v>#DIV/0!</v>
      </c>
      <c r="AJ13" s="173">
        <f>Buc!$AE$297</f>
        <v>-36.22</v>
      </c>
      <c r="AK13" s="177">
        <f t="shared" si="2"/>
        <v>0</v>
      </c>
    </row>
    <row r="14" spans="1:37" ht="18" customHeight="1" x14ac:dyDescent="0.2">
      <c r="A14" s="160" t="s">
        <v>415</v>
      </c>
      <c r="B14" s="161" t="s">
        <v>30</v>
      </c>
      <c r="C14" s="161" t="s">
        <v>17</v>
      </c>
      <c r="D14" s="162">
        <f t="shared" si="0"/>
        <v>0.99987836029680333</v>
      </c>
      <c r="E14" s="162">
        <f t="shared" si="1"/>
        <v>0.99987836029680333</v>
      </c>
      <c r="G14" s="163" t="s">
        <v>386</v>
      </c>
      <c r="I14" s="164">
        <v>271.22199999999998</v>
      </c>
      <c r="J14" s="164">
        <v>-4.09</v>
      </c>
      <c r="K14" s="164">
        <v>-4.09</v>
      </c>
      <c r="L14" s="165">
        <v>0</v>
      </c>
      <c r="M14" s="165">
        <v>0</v>
      </c>
      <c r="N14" s="164">
        <v>-0.24099999999999999</v>
      </c>
      <c r="O14" s="164">
        <v>-3.6000000000000032E-2</v>
      </c>
      <c r="P14" s="164">
        <v>5.7480000000000002</v>
      </c>
      <c r="Q14" s="164">
        <v>0.16899999999999959</v>
      </c>
      <c r="R14" s="164">
        <v>-3.4999999999999254E-2</v>
      </c>
      <c r="S14" s="164">
        <v>-3.5000000000000142E-2</v>
      </c>
      <c r="T14" s="164">
        <v>-7.3000000000000398E-2</v>
      </c>
      <c r="U14" s="164">
        <v>-0.24000000000000021</v>
      </c>
      <c r="V14" s="164">
        <v>0.34000000000000075</v>
      </c>
      <c r="W14" s="164">
        <v>2.4679999999999795</v>
      </c>
      <c r="X14" s="164">
        <v>0.28499999999998948</v>
      </c>
      <c r="Y14" s="164">
        <v>-0.1289999999999889</v>
      </c>
      <c r="Z14" s="164">
        <v>8.2209999999999805</v>
      </c>
      <c r="AB14" s="164">
        <v>0</v>
      </c>
      <c r="AC14" s="166">
        <v>8.2200000000000006</v>
      </c>
      <c r="AD14" s="178"/>
      <c r="AE14" s="164">
        <v>0</v>
      </c>
      <c r="AF14" s="166">
        <v>8.2200000000000006</v>
      </c>
      <c r="AH14" s="167" t="e">
        <f>(M14-Z14)/IFERROR((12-#REF!),0)</f>
        <v>#DIV/0!</v>
      </c>
      <c r="AJ14" s="173">
        <f>'Vaux Le Pénil'!$AE$297</f>
        <v>8.2200000000000006</v>
      </c>
      <c r="AK14" s="177">
        <f t="shared" si="2"/>
        <v>0</v>
      </c>
    </row>
    <row r="15" spans="1:37" ht="18" customHeight="1" x14ac:dyDescent="0.2">
      <c r="A15" s="160" t="s">
        <v>413</v>
      </c>
      <c r="B15" s="161" t="s">
        <v>30</v>
      </c>
      <c r="C15" s="161" t="s">
        <v>17</v>
      </c>
      <c r="D15" s="162">
        <f t="shared" si="0"/>
        <v>-1.0160427807486632</v>
      </c>
      <c r="E15" s="162">
        <f t="shared" si="1"/>
        <v>-1.0160427807486632</v>
      </c>
      <c r="G15" s="163" t="s">
        <v>395</v>
      </c>
      <c r="I15" s="164">
        <v>154.79900000000001</v>
      </c>
      <c r="J15" s="164">
        <v>0.54299999999999904</v>
      </c>
      <c r="K15" s="164">
        <v>0.54299999999999904</v>
      </c>
      <c r="L15" s="165">
        <v>0</v>
      </c>
      <c r="M15" s="165">
        <v>0</v>
      </c>
      <c r="N15" s="164">
        <v>-1.7000000000000001E-2</v>
      </c>
      <c r="O15" s="164">
        <v>-1.6E-2</v>
      </c>
      <c r="P15" s="164">
        <v>-1.7000000000000001E-2</v>
      </c>
      <c r="Q15" s="164">
        <v>-1.6E-2</v>
      </c>
      <c r="R15" s="164">
        <v>-1.6E-2</v>
      </c>
      <c r="S15" s="164">
        <v>-1.7000000000000001E-2</v>
      </c>
      <c r="T15" s="164">
        <v>-2.1999999999999992E-2</v>
      </c>
      <c r="U15" s="164">
        <v>-1.999999999999999E-2</v>
      </c>
      <c r="V15" s="164">
        <v>-2.1000000000000019E-2</v>
      </c>
      <c r="W15" s="164">
        <v>-1.999999999999999E-2</v>
      </c>
      <c r="X15" s="164">
        <v>-2.0000000000000018E-2</v>
      </c>
      <c r="Y15" s="164">
        <v>1.5000000000000013E-2</v>
      </c>
      <c r="Z15" s="164">
        <v>-0.187</v>
      </c>
      <c r="AB15" s="164">
        <v>0</v>
      </c>
      <c r="AC15" s="166">
        <v>-0.19</v>
      </c>
      <c r="AD15" s="178"/>
      <c r="AE15" s="164">
        <v>0</v>
      </c>
      <c r="AF15" s="166">
        <v>-0.19</v>
      </c>
      <c r="AH15" s="167" t="e">
        <f>(M15-Z15)/IFERROR((12-#REF!),0)</f>
        <v>#DIV/0!</v>
      </c>
      <c r="AJ15" s="173" t="e">
        <f>'Réseaux-DAAF'!$AE$288</f>
        <v>#REF!</v>
      </c>
      <c r="AK15" s="177" t="e">
        <f t="shared" si="2"/>
        <v>#REF!</v>
      </c>
    </row>
    <row r="16" spans="1:37" s="141" customFormat="1" ht="18" customHeight="1" x14ac:dyDescent="0.2">
      <c r="A16" s="169" t="s">
        <v>416</v>
      </c>
      <c r="B16" s="170" t="s">
        <v>30</v>
      </c>
      <c r="C16" s="170" t="s">
        <v>17</v>
      </c>
      <c r="D16" s="171">
        <f t="shared" si="0"/>
        <v>0.10948804040179065</v>
      </c>
      <c r="E16" s="171">
        <f t="shared" si="1"/>
        <v>1.8872385452501271E-2</v>
      </c>
      <c r="G16" s="172" t="s">
        <v>396</v>
      </c>
      <c r="I16" s="173">
        <v>3819.2640000000001</v>
      </c>
      <c r="J16" s="173">
        <v>3868.1860000000001</v>
      </c>
      <c r="K16" s="173">
        <v>3868.1860000000001</v>
      </c>
      <c r="L16" s="174">
        <v>3722.9636999999998</v>
      </c>
      <c r="M16" s="174">
        <v>4054.0715</v>
      </c>
      <c r="N16" s="173">
        <v>170.87</v>
      </c>
      <c r="O16" s="173">
        <v>136.63599999999997</v>
      </c>
      <c r="P16" s="173">
        <v>149.77499999999901</v>
      </c>
      <c r="Q16" s="173">
        <v>393.15400000000005</v>
      </c>
      <c r="R16" s="173">
        <v>665.37700000000086</v>
      </c>
      <c r="S16" s="173">
        <v>349.97400000000016</v>
      </c>
      <c r="T16" s="173">
        <v>444.45800000000008</v>
      </c>
      <c r="U16" s="173">
        <v>489.14799999999968</v>
      </c>
      <c r="V16" s="173">
        <v>295.15800000000036</v>
      </c>
      <c r="W16" s="173">
        <v>344.50499999999965</v>
      </c>
      <c r="X16" s="173">
        <v>300.38400000000001</v>
      </c>
      <c r="Y16" s="173">
        <v>391.14700000000039</v>
      </c>
      <c r="Z16" s="173">
        <v>4130.5860000000002</v>
      </c>
      <c r="AA16" s="128"/>
      <c r="AB16" s="173">
        <v>3722.9636999999998</v>
      </c>
      <c r="AC16" s="166">
        <v>407.62</v>
      </c>
      <c r="AD16" s="175"/>
      <c r="AE16" s="173">
        <v>4054.0715</v>
      </c>
      <c r="AF16" s="166">
        <v>76.510000000000005</v>
      </c>
      <c r="AH16" s="176" t="e">
        <f>(M16-Z16)/IFERROR((12-#REF!),0)</f>
        <v>#DIV/0!</v>
      </c>
      <c r="AJ16" s="173">
        <f>'Secteur Rob.Public'!$AE$297</f>
        <v>76.510000000000005</v>
      </c>
      <c r="AK16" s="177">
        <f t="shared" si="2"/>
        <v>0</v>
      </c>
    </row>
    <row r="17" spans="1:37" ht="18" customHeight="1" x14ac:dyDescent="0.2">
      <c r="A17" s="160" t="s">
        <v>417</v>
      </c>
      <c r="B17" s="161" t="s">
        <v>30</v>
      </c>
      <c r="C17" s="161" t="s">
        <v>17</v>
      </c>
      <c r="D17" s="162">
        <f t="shared" si="0"/>
        <v>0.19551143837006049</v>
      </c>
      <c r="E17" s="162">
        <f t="shared" si="1"/>
        <v>0.13772517102545706</v>
      </c>
      <c r="G17" s="163" t="s">
        <v>397</v>
      </c>
      <c r="I17" s="164">
        <v>1004.711</v>
      </c>
      <c r="J17" s="164">
        <v>1662.174</v>
      </c>
      <c r="K17" s="164">
        <v>1662.174</v>
      </c>
      <c r="L17" s="165">
        <v>1272.4575199999999</v>
      </c>
      <c r="M17" s="165">
        <v>1337.08311</v>
      </c>
      <c r="N17" s="164">
        <v>68.574999999999903</v>
      </c>
      <c r="O17" s="164">
        <v>94.060000000000088</v>
      </c>
      <c r="P17" s="164">
        <v>89.233000000000004</v>
      </c>
      <c r="Q17" s="164">
        <v>178.49</v>
      </c>
      <c r="R17" s="164">
        <v>160.17299999999994</v>
      </c>
      <c r="S17" s="164">
        <v>134.14600000000007</v>
      </c>
      <c r="T17" s="164">
        <v>65.187999999999988</v>
      </c>
      <c r="U17" s="164">
        <v>169.31300000000101</v>
      </c>
      <c r="V17" s="164">
        <v>126.67299999999909</v>
      </c>
      <c r="W17" s="164">
        <v>120.0949999999998</v>
      </c>
      <c r="X17" s="164">
        <v>165.78700000000003</v>
      </c>
      <c r="Y17" s="164">
        <v>149.5</v>
      </c>
      <c r="Z17" s="164">
        <v>1521.2329999999999</v>
      </c>
      <c r="AB17" s="164">
        <v>1272.4575199999999</v>
      </c>
      <c r="AC17" s="166">
        <v>248.78</v>
      </c>
      <c r="AD17" s="178"/>
      <c r="AE17" s="164">
        <v>1337.08311</v>
      </c>
      <c r="AF17" s="166">
        <v>184.15</v>
      </c>
      <c r="AH17" s="167" t="e">
        <f>(M17-Z17)/IFERROR((12-#REF!),0)</f>
        <v>#DIV/0!</v>
      </c>
      <c r="AJ17" s="173">
        <f>Montlouis!$AE$297</f>
        <v>184.15</v>
      </c>
      <c r="AK17" s="177">
        <f t="shared" si="2"/>
        <v>0</v>
      </c>
    </row>
    <row r="18" spans="1:37" ht="18" customHeight="1" x14ac:dyDescent="0.2">
      <c r="A18" s="160" t="s">
        <v>418</v>
      </c>
      <c r="B18" s="161" t="s">
        <v>30</v>
      </c>
      <c r="C18" s="161" t="s">
        <v>17</v>
      </c>
      <c r="D18" s="162">
        <f t="shared" si="0"/>
        <v>-47.12</v>
      </c>
      <c r="E18" s="162">
        <f t="shared" si="1"/>
        <v>-0.99991688138974311</v>
      </c>
      <c r="G18" s="163" t="s">
        <v>391</v>
      </c>
      <c r="I18" s="164">
        <v>-96.155999999999906</v>
      </c>
      <c r="J18" s="164">
        <v>-91.715999999999994</v>
      </c>
      <c r="K18" s="164">
        <v>-91.715999999999994</v>
      </c>
      <c r="L18" s="165">
        <v>-0.25</v>
      </c>
      <c r="M18" s="165">
        <v>0</v>
      </c>
      <c r="N18" s="164">
        <v>3.081</v>
      </c>
      <c r="O18" s="164">
        <v>-10.413</v>
      </c>
      <c r="P18" s="164">
        <v>-3.2579999999999991</v>
      </c>
      <c r="Q18" s="164">
        <v>-0.41500000000000092</v>
      </c>
      <c r="R18" s="164">
        <v>0.17900000000000027</v>
      </c>
      <c r="S18" s="164">
        <v>-0.2759999999999998</v>
      </c>
      <c r="T18" s="164">
        <v>-0.41099999999999959</v>
      </c>
      <c r="U18" s="164">
        <v>-0.31900000000000084</v>
      </c>
      <c r="V18" s="164">
        <v>-0.7289999999999992</v>
      </c>
      <c r="W18" s="164">
        <v>0.69699999999999918</v>
      </c>
      <c r="X18" s="164">
        <v>-0.62599999999999945</v>
      </c>
      <c r="Y18" s="164">
        <v>0.45899999999999963</v>
      </c>
      <c r="Z18" s="164">
        <v>-12.031000000000001</v>
      </c>
      <c r="AB18" s="164">
        <v>-0.25</v>
      </c>
      <c r="AC18" s="166">
        <v>-11.78</v>
      </c>
      <c r="AD18" s="178"/>
      <c r="AE18" s="164">
        <v>0</v>
      </c>
      <c r="AF18" s="166">
        <v>-12.03</v>
      </c>
      <c r="AH18" s="167" t="e">
        <f>(M18-Z18)/IFERROR((12-#REF!),0)</f>
        <v>#DIV/0!</v>
      </c>
      <c r="AJ18" s="173">
        <f>Sani!$AE$297</f>
        <v>-12.03</v>
      </c>
      <c r="AK18" s="177">
        <f t="shared" si="2"/>
        <v>0</v>
      </c>
    </row>
    <row r="19" spans="1:37" s="141" customFormat="1" ht="18" customHeight="1" x14ac:dyDescent="0.2">
      <c r="A19" s="169" t="s">
        <v>419</v>
      </c>
      <c r="B19" s="170" t="s">
        <v>30</v>
      </c>
      <c r="C19" s="170" t="s">
        <v>17</v>
      </c>
      <c r="D19" s="171">
        <f>IF(AND($Z19=0,AB19=0),0,IF(AB19=0,IF($Z19&gt;=0,AC19/$Z19,-AC19/$Z19),IF(AB19&gt;=0,AC19/AB19,-AC19/AB19)))</f>
        <v>0.18628250208739533</v>
      </c>
      <c r="E19" s="171">
        <f>IF(AND($Z19=0,AE19=0),0,IF(AE19=0,IF($Z19&gt;=0,AF19/$Z19,-AF19/$Z19),IF(AE19&gt;=0,AF19/AE19,-AF19/AE19)))</f>
        <v>0.12872797413468187</v>
      </c>
      <c r="G19" s="172" t="s">
        <v>398</v>
      </c>
      <c r="I19" s="173">
        <v>908.55500000000097</v>
      </c>
      <c r="J19" s="173">
        <v>1570.4580000000001</v>
      </c>
      <c r="K19" s="173">
        <v>1570.4580000000001</v>
      </c>
      <c r="L19" s="174">
        <v>1272.2075199999999</v>
      </c>
      <c r="M19" s="174">
        <v>1337.08311</v>
      </c>
      <c r="N19" s="173">
        <v>71.655999999999906</v>
      </c>
      <c r="O19" s="173">
        <v>83.647000000000091</v>
      </c>
      <c r="P19" s="173">
        <v>85.974999999999994</v>
      </c>
      <c r="Q19" s="173">
        <v>178.07500000000002</v>
      </c>
      <c r="R19" s="173">
        <v>160.35200000000003</v>
      </c>
      <c r="S19" s="173">
        <v>133.87</v>
      </c>
      <c r="T19" s="173">
        <v>64.77699999999993</v>
      </c>
      <c r="U19" s="173">
        <v>168.99400000000105</v>
      </c>
      <c r="V19" s="173">
        <v>125.94399999999894</v>
      </c>
      <c r="W19" s="173">
        <v>120.79200000000014</v>
      </c>
      <c r="X19" s="173">
        <v>165.16099999999983</v>
      </c>
      <c r="Y19" s="173">
        <v>149.95900000000006</v>
      </c>
      <c r="Z19" s="173">
        <v>1509.202</v>
      </c>
      <c r="AA19" s="128"/>
      <c r="AB19" s="173">
        <v>1272.2075199999999</v>
      </c>
      <c r="AC19" s="166">
        <v>236.99</v>
      </c>
      <c r="AD19" s="175"/>
      <c r="AE19" s="173">
        <v>1337.08311</v>
      </c>
      <c r="AF19" s="166">
        <v>172.12</v>
      </c>
      <c r="AH19" s="176" t="e">
        <f>(M19-Z19)/IFERROR((12-#REF!),0)</f>
        <v>#DIV/0!</v>
      </c>
      <c r="AJ19" s="173">
        <f>'Secteur Rob.Privée'!$AE$297</f>
        <v>172.12</v>
      </c>
      <c r="AK19" s="177">
        <f t="shared" si="2"/>
        <v>0</v>
      </c>
    </row>
    <row r="20" spans="1:37" ht="18" customHeight="1" x14ac:dyDescent="0.2">
      <c r="A20" s="169" t="s">
        <v>420</v>
      </c>
      <c r="B20" s="170" t="s">
        <v>30</v>
      </c>
      <c r="C20" s="170" t="s">
        <v>17</v>
      </c>
      <c r="D20" s="171">
        <f t="shared" si="0"/>
        <v>0.12904862948822002</v>
      </c>
      <c r="E20" s="171">
        <f t="shared" si="1"/>
        <v>4.6118135721579689E-2</v>
      </c>
      <c r="G20" s="179" t="s">
        <v>400</v>
      </c>
      <c r="H20" s="180"/>
      <c r="I20" s="181">
        <v>4727.8189999999904</v>
      </c>
      <c r="J20" s="181">
        <v>5438.6440000000002</v>
      </c>
      <c r="K20" s="181">
        <v>5438.6440000000002</v>
      </c>
      <c r="L20" s="182">
        <v>4995.1712200000002</v>
      </c>
      <c r="M20" s="182">
        <v>5391.1546099999996</v>
      </c>
      <c r="N20" s="181">
        <v>242.52600000000001</v>
      </c>
      <c r="O20" s="181">
        <v>220.28300000000002</v>
      </c>
      <c r="P20" s="181">
        <v>235.74999999999994</v>
      </c>
      <c r="Q20" s="181">
        <v>571.22900000000004</v>
      </c>
      <c r="R20" s="181">
        <v>825.72899999999981</v>
      </c>
      <c r="S20" s="181">
        <v>483.84400000000005</v>
      </c>
      <c r="T20" s="181">
        <v>509.23500000000013</v>
      </c>
      <c r="U20" s="181">
        <v>658.14199999999983</v>
      </c>
      <c r="V20" s="181">
        <v>421.10199999999031</v>
      </c>
      <c r="W20" s="181">
        <v>465.29700000000958</v>
      </c>
      <c r="X20" s="181">
        <v>465.54500000000007</v>
      </c>
      <c r="Y20" s="181">
        <v>541.10599999999977</v>
      </c>
      <c r="Z20" s="181">
        <v>5639.7879999999996</v>
      </c>
      <c r="AB20" s="181">
        <v>4995.1712200000002</v>
      </c>
      <c r="AC20" s="183">
        <v>644.62</v>
      </c>
      <c r="AD20" s="168"/>
      <c r="AE20" s="181">
        <v>5391.1546099999996</v>
      </c>
      <c r="AF20" s="183">
        <v>248.63</v>
      </c>
      <c r="AH20" s="184" t="e">
        <f>(M20-Z20)/IFERROR((12-#REF!),0)</f>
        <v>#DIV/0!</v>
      </c>
      <c r="AJ20" s="181">
        <f>'Secteur Robinetterie'!$AE$297</f>
        <v>248.63</v>
      </c>
      <c r="AK20" s="185">
        <f t="shared" si="2"/>
        <v>0</v>
      </c>
    </row>
    <row r="21" spans="1:37" x14ac:dyDescent="0.2">
      <c r="AC21" s="128"/>
      <c r="AF21" s="128"/>
    </row>
    <row r="22" spans="1:37" hidden="1" outlineLevel="1" x14ac:dyDescent="0.2">
      <c r="G22" s="175" t="s">
        <v>399</v>
      </c>
      <c r="H22" s="178"/>
      <c r="I22" s="186">
        <f>I11+I12+I13+I14+I15-I16</f>
        <v>0</v>
      </c>
      <c r="J22" s="186">
        <f t="shared" ref="J22:Z22" si="3">J11+J12+J13+J14+J15-J16</f>
        <v>0</v>
      </c>
      <c r="K22" s="186">
        <f t="shared" si="3"/>
        <v>0</v>
      </c>
      <c r="L22" s="186">
        <f t="shared" si="3"/>
        <v>0</v>
      </c>
      <c r="M22" s="186">
        <f t="shared" si="3"/>
        <v>0</v>
      </c>
      <c r="N22" s="186">
        <f t="shared" si="3"/>
        <v>0</v>
      </c>
      <c r="O22" s="186">
        <f t="shared" si="3"/>
        <v>0</v>
      </c>
      <c r="P22" s="186">
        <f t="shared" si="3"/>
        <v>9.0949470177292824E-13</v>
      </c>
      <c r="Q22" s="186">
        <f t="shared" si="3"/>
        <v>0</v>
      </c>
      <c r="R22" s="186">
        <f t="shared" si="3"/>
        <v>-9.0949470177292824E-13</v>
      </c>
      <c r="S22" s="186">
        <f t="shared" si="3"/>
        <v>0</v>
      </c>
      <c r="T22" s="186">
        <f t="shared" ref="T22" si="4">T11+T12+T13+T14+T15-T16</f>
        <v>0</v>
      </c>
      <c r="U22" s="186">
        <f t="shared" si="3"/>
        <v>1.4779288903810084E-12</v>
      </c>
      <c r="V22" s="186">
        <f t="shared" si="3"/>
        <v>-2.5011104298755527E-12</v>
      </c>
      <c r="W22" s="186">
        <f t="shared" si="3"/>
        <v>1.4779288903810084E-12</v>
      </c>
      <c r="X22" s="186">
        <f t="shared" si="3"/>
        <v>-1.2505552149377763E-12</v>
      </c>
      <c r="Y22" s="186">
        <f t="shared" si="3"/>
        <v>6.2527760746888816E-13</v>
      </c>
      <c r="Z22" s="186">
        <f t="shared" si="3"/>
        <v>0</v>
      </c>
      <c r="AB22" s="186">
        <f t="shared" ref="AB22:AC22" si="5">AB11+AB12+AB13+AB14+AB15-AB16</f>
        <v>0</v>
      </c>
      <c r="AC22" s="186">
        <f t="shared" si="5"/>
        <v>0</v>
      </c>
      <c r="AE22" s="186">
        <f t="shared" ref="AE22:AF22" si="6">AE11+AE12+AE13+AE14+AE15-AE16</f>
        <v>0</v>
      </c>
      <c r="AF22" s="186">
        <f t="shared" si="6"/>
        <v>0</v>
      </c>
      <c r="AH22" s="186" t="e">
        <f>AH11+AH12+AH13+AH14+AH15-AH16</f>
        <v>#DIV/0!</v>
      </c>
      <c r="AJ22" s="186" t="e">
        <f>AJ11+AJ12+AJ13+AJ14+AJ15-AJ16</f>
        <v>#REF!</v>
      </c>
      <c r="AK22" s="186" t="e">
        <f>AK11+AK12+AK13+AK14+AK15-AK16</f>
        <v>#REF!</v>
      </c>
    </row>
    <row r="23" spans="1:37" hidden="1" outlineLevel="1" x14ac:dyDescent="0.2">
      <c r="G23" s="175" t="s">
        <v>399</v>
      </c>
      <c r="H23" s="178"/>
      <c r="I23" s="186">
        <f>I17+I18-I19</f>
        <v>-9.0949470177292824E-13</v>
      </c>
      <c r="J23" s="186">
        <f t="shared" ref="J23:Z23" si="7">J17+J18-J19</f>
        <v>0</v>
      </c>
      <c r="K23" s="186">
        <f t="shared" si="7"/>
        <v>0</v>
      </c>
      <c r="L23" s="186">
        <f t="shared" si="7"/>
        <v>0</v>
      </c>
      <c r="M23" s="186">
        <f t="shared" si="7"/>
        <v>0</v>
      </c>
      <c r="N23" s="186">
        <f t="shared" si="7"/>
        <v>0</v>
      </c>
      <c r="O23" s="186">
        <f t="shared" si="7"/>
        <v>0</v>
      </c>
      <c r="P23" s="186">
        <f t="shared" si="7"/>
        <v>0</v>
      </c>
      <c r="Q23" s="186">
        <f t="shared" si="7"/>
        <v>0</v>
      </c>
      <c r="R23" s="186">
        <f t="shared" si="7"/>
        <v>0</v>
      </c>
      <c r="S23" s="186">
        <f t="shared" si="7"/>
        <v>0</v>
      </c>
      <c r="T23" s="186">
        <f t="shared" ref="T23" si="8">T17+T18-T19</f>
        <v>0</v>
      </c>
      <c r="U23" s="186">
        <f t="shared" si="7"/>
        <v>0</v>
      </c>
      <c r="V23" s="186">
        <f t="shared" si="7"/>
        <v>1.5631940186722204E-13</v>
      </c>
      <c r="W23" s="186">
        <f t="shared" si="7"/>
        <v>-3.4106051316484809E-13</v>
      </c>
      <c r="X23" s="186">
        <f t="shared" si="7"/>
        <v>0</v>
      </c>
      <c r="Y23" s="186">
        <f t="shared" si="7"/>
        <v>0</v>
      </c>
      <c r="Z23" s="186">
        <f t="shared" si="7"/>
        <v>0</v>
      </c>
      <c r="AB23" s="186">
        <f t="shared" ref="AB23:AC23" si="9">AB17+AB18-AB19</f>
        <v>0</v>
      </c>
      <c r="AC23" s="186">
        <f t="shared" si="9"/>
        <v>9.9999999999909051E-3</v>
      </c>
      <c r="AE23" s="186">
        <f t="shared" ref="AE23:AF23" si="10">AE17+AE18-AE19</f>
        <v>0</v>
      </c>
      <c r="AF23" s="186">
        <f t="shared" si="10"/>
        <v>0</v>
      </c>
      <c r="AH23" s="186" t="e">
        <f t="shared" ref="AH23:AJ23" si="11">AH17+AH18-AH19</f>
        <v>#DIV/0!</v>
      </c>
      <c r="AJ23" s="186">
        <f t="shared" si="11"/>
        <v>0</v>
      </c>
      <c r="AK23" s="186">
        <f t="shared" ref="AK23" si="12">AK17+AK18-AK19</f>
        <v>0</v>
      </c>
    </row>
    <row r="24" spans="1:37" hidden="1" outlineLevel="1" x14ac:dyDescent="0.2">
      <c r="G24" s="175" t="s">
        <v>399</v>
      </c>
      <c r="H24" s="178"/>
      <c r="I24" s="186">
        <f>I16+I19-I20</f>
        <v>1.0913936421275139E-11</v>
      </c>
      <c r="J24" s="186">
        <f t="shared" ref="J24:AH24" si="13">J16+J19-J20</f>
        <v>0</v>
      </c>
      <c r="K24" s="186">
        <f t="shared" si="13"/>
        <v>0</v>
      </c>
      <c r="L24" s="186">
        <f t="shared" si="13"/>
        <v>0</v>
      </c>
      <c r="M24" s="186">
        <f t="shared" si="13"/>
        <v>0</v>
      </c>
      <c r="N24" s="186">
        <f t="shared" si="13"/>
        <v>0</v>
      </c>
      <c r="O24" s="186">
        <f t="shared" si="13"/>
        <v>0</v>
      </c>
      <c r="P24" s="186">
        <f t="shared" si="13"/>
        <v>-9.3791641120333225E-13</v>
      </c>
      <c r="Q24" s="186">
        <f t="shared" si="13"/>
        <v>0</v>
      </c>
      <c r="R24" s="186">
        <f t="shared" si="13"/>
        <v>1.1368683772161603E-12</v>
      </c>
      <c r="S24" s="186">
        <f t="shared" si="13"/>
        <v>0</v>
      </c>
      <c r="T24" s="186">
        <f t="shared" ref="T24" si="14">T16+T19-T20</f>
        <v>0</v>
      </c>
      <c r="U24" s="186">
        <f t="shared" si="13"/>
        <v>9.0949470177292824E-13</v>
      </c>
      <c r="V24" s="186">
        <f t="shared" si="13"/>
        <v>8.9812601800076663E-12</v>
      </c>
      <c r="W24" s="186">
        <f t="shared" si="13"/>
        <v>-9.7770680440589786E-12</v>
      </c>
      <c r="X24" s="186">
        <f t="shared" si="13"/>
        <v>0</v>
      </c>
      <c r="Y24" s="186">
        <f t="shared" si="13"/>
        <v>0</v>
      </c>
      <c r="Z24" s="186">
        <f t="shared" si="13"/>
        <v>0</v>
      </c>
      <c r="AB24" s="186">
        <f t="shared" si="13"/>
        <v>0</v>
      </c>
      <c r="AC24" s="186">
        <f t="shared" si="13"/>
        <v>-9.9999999999909051E-3</v>
      </c>
      <c r="AE24" s="186">
        <f t="shared" si="13"/>
        <v>0</v>
      </c>
      <c r="AF24" s="186">
        <f t="shared" si="13"/>
        <v>0</v>
      </c>
      <c r="AG24" s="186"/>
      <c r="AH24" s="186" t="e">
        <f t="shared" si="13"/>
        <v>#DIV/0!</v>
      </c>
      <c r="AJ24" s="186">
        <f t="shared" ref="AJ24" si="15">AJ16+AJ19-AJ20</f>
        <v>0</v>
      </c>
      <c r="AK24" s="186">
        <f t="shared" ref="AK24" si="16">AK16+AK19-AK20</f>
        <v>0</v>
      </c>
    </row>
    <row r="25" spans="1:37" s="196" customFormat="1" hidden="1" outlineLevel="1" x14ac:dyDescent="0.2">
      <c r="G25" s="175"/>
      <c r="H25" s="178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B25" s="186"/>
      <c r="AC25" s="186"/>
      <c r="AE25" s="186"/>
      <c r="AF25" s="186"/>
      <c r="AG25" s="186"/>
      <c r="AH25" s="186"/>
      <c r="AJ25" s="186"/>
      <c r="AK25" s="186"/>
    </row>
    <row r="26" spans="1:37" s="196" customFormat="1" hidden="1" outlineLevel="1" x14ac:dyDescent="0.2">
      <c r="G26" s="175" t="str">
        <f>"Contrôle EBIT 0 "&amp;G11</f>
        <v>Contrôle EBIT 0 Bonneuil</v>
      </c>
      <c r="H26" s="178"/>
      <c r="I26" s="186">
        <f>Bonneuil!H382</f>
        <v>0</v>
      </c>
      <c r="J26" s="186">
        <f>Bonneuil!I382</f>
        <v>0</v>
      </c>
      <c r="K26" s="186">
        <f>Bonneuil!J382</f>
        <v>0</v>
      </c>
      <c r="L26" s="186">
        <f>Bonneuil!K382</f>
        <v>0</v>
      </c>
      <c r="M26" s="186">
        <f>Bonneuil!L382</f>
        <v>0</v>
      </c>
      <c r="N26" s="186">
        <f>Bonneuil!M382</f>
        <v>0</v>
      </c>
      <c r="O26" s="186">
        <f>Bonneuil!N382</f>
        <v>1.7053025658242404E-13</v>
      </c>
      <c r="P26" s="186">
        <f>Bonneuil!O382</f>
        <v>5.6843418860808015E-14</v>
      </c>
      <c r="Q26" s="186">
        <f>Bonneuil!P382</f>
        <v>5.6843418860808015E-14</v>
      </c>
      <c r="R26" s="186">
        <f>Bonneuil!Q382</f>
        <v>1.1368683772161603E-13</v>
      </c>
      <c r="S26" s="186">
        <f>Bonneuil!R382</f>
        <v>2.2737367544323206E-13</v>
      </c>
      <c r="T26" s="186">
        <f>Bonneuil!S382</f>
        <v>-1.1368683772161603E-13</v>
      </c>
      <c r="U26" s="186">
        <f>Bonneuil!T382</f>
        <v>4.5474735088646412E-13</v>
      </c>
      <c r="V26" s="186">
        <f>Bonneuil!U382</f>
        <v>4.5474735088646412E-13</v>
      </c>
      <c r="W26" s="186">
        <f>Bonneuil!V382</f>
        <v>2.2737367544323206E-13</v>
      </c>
      <c r="X26" s="186">
        <f>Bonneuil!W382</f>
        <v>0</v>
      </c>
      <c r="Y26" s="186">
        <f>Bonneuil!X382</f>
        <v>-2.2737367544323206E-13</v>
      </c>
      <c r="Z26" s="186">
        <f>Bonneuil!Y382</f>
        <v>0</v>
      </c>
      <c r="AB26" s="186"/>
      <c r="AC26" s="186"/>
      <c r="AE26" s="186"/>
      <c r="AF26" s="186"/>
      <c r="AG26" s="186"/>
      <c r="AH26" s="186"/>
      <c r="AJ26" s="186"/>
      <c r="AK26" s="186"/>
    </row>
    <row r="27" spans="1:37" s="196" customFormat="1" hidden="1" outlineLevel="1" x14ac:dyDescent="0.2">
      <c r="G27" s="175" t="str">
        <f t="shared" ref="G27:G35" si="17">"Contrôle EBIT 0 "&amp;G12</f>
        <v>Contrôle EBIT 0 Stains</v>
      </c>
      <c r="H27" s="178"/>
      <c r="I27" s="186">
        <f>Stains!H382</f>
        <v>0</v>
      </c>
      <c r="J27" s="186">
        <f>Stains!I382</f>
        <v>0</v>
      </c>
      <c r="K27" s="186">
        <f>Stains!J382</f>
        <v>0</v>
      </c>
      <c r="L27" s="186">
        <f>Stains!K382</f>
        <v>0</v>
      </c>
      <c r="M27" s="186">
        <f>Stains!L382</f>
        <v>0</v>
      </c>
      <c r="N27" s="186">
        <f>Stains!M382</f>
        <v>-3.1974423109204508E-14</v>
      </c>
      <c r="O27" s="186">
        <f>Stains!N382</f>
        <v>-1.3855583347321954E-13</v>
      </c>
      <c r="P27" s="186">
        <f>Stains!O382</f>
        <v>-2.7711166694643907E-13</v>
      </c>
      <c r="Q27" s="186">
        <f>Stains!P382</f>
        <v>-1.7053025658242404E-13</v>
      </c>
      <c r="R27" s="186">
        <f>Stains!Q382</f>
        <v>-2.8421709430404007E-13</v>
      </c>
      <c r="S27" s="186">
        <f>Stains!R382</f>
        <v>-1.1368683772161603E-13</v>
      </c>
      <c r="T27" s="186">
        <f>Stains!S382</f>
        <v>0</v>
      </c>
      <c r="U27" s="186">
        <f>Stains!T382</f>
        <v>1.2505552149377763E-12</v>
      </c>
      <c r="V27" s="186">
        <f>Stains!U382</f>
        <v>-1.1368683772161603E-13</v>
      </c>
      <c r="W27" s="186">
        <f>Stains!V382</f>
        <v>-2.2737367544323206E-13</v>
      </c>
      <c r="X27" s="186">
        <f>Stains!W382</f>
        <v>0</v>
      </c>
      <c r="Y27" s="186">
        <f>Stains!X382</f>
        <v>0</v>
      </c>
      <c r="Z27" s="186">
        <f>Stains!Y382</f>
        <v>0</v>
      </c>
      <c r="AB27" s="186"/>
      <c r="AC27" s="186"/>
      <c r="AE27" s="186"/>
      <c r="AF27" s="186"/>
      <c r="AG27" s="186"/>
      <c r="AH27" s="186"/>
      <c r="AJ27" s="186"/>
      <c r="AK27" s="186"/>
    </row>
    <row r="28" spans="1:37" s="196" customFormat="1" hidden="1" outlineLevel="1" x14ac:dyDescent="0.2">
      <c r="G28" s="175" t="str">
        <f t="shared" si="17"/>
        <v>Contrôle EBIT 0 Buc</v>
      </c>
      <c r="H28" s="178"/>
      <c r="I28" s="186">
        <f>Buc!H382</f>
        <v>0</v>
      </c>
      <c r="J28" s="186">
        <f>Buc!I382</f>
        <v>0</v>
      </c>
      <c r="K28" s="186">
        <f>Buc!J382</f>
        <v>0</v>
      </c>
      <c r="L28" s="186">
        <f>Buc!K382</f>
        <v>0</v>
      </c>
      <c r="M28" s="186">
        <f>Buc!L382</f>
        <v>0</v>
      </c>
      <c r="N28" s="186">
        <f>Buc!M382</f>
        <v>0</v>
      </c>
      <c r="O28" s="186">
        <f>Buc!N382</f>
        <v>-1.1368683772161603E-13</v>
      </c>
      <c r="P28" s="186">
        <f>Buc!O382</f>
        <v>0</v>
      </c>
      <c r="Q28" s="186">
        <f>Buc!P382</f>
        <v>-1.4210854715202004E-13</v>
      </c>
      <c r="R28" s="186">
        <f>Buc!Q382</f>
        <v>5.6843418860808015E-14</v>
      </c>
      <c r="S28" s="186">
        <f>Buc!R382</f>
        <v>3.4106051316484809E-13</v>
      </c>
      <c r="T28" s="186">
        <f>Buc!S382</f>
        <v>2.2737367544323206E-13</v>
      </c>
      <c r="U28" s="186">
        <f>Buc!T382</f>
        <v>1.1368683772161603E-13</v>
      </c>
      <c r="V28" s="186">
        <f>Buc!U382</f>
        <v>-1.0231815394945443E-12</v>
      </c>
      <c r="W28" s="186">
        <f>Buc!V382</f>
        <v>-1.1368683772161603E-13</v>
      </c>
      <c r="X28" s="186">
        <f>Buc!W382</f>
        <v>-5.6843418860808015E-13</v>
      </c>
      <c r="Y28" s="186">
        <f>Buc!X382</f>
        <v>2.2737367544323206E-13</v>
      </c>
      <c r="Z28" s="186">
        <f>Buc!Y382</f>
        <v>0</v>
      </c>
      <c r="AB28" s="186"/>
      <c r="AC28" s="186"/>
      <c r="AE28" s="186"/>
      <c r="AF28" s="186"/>
      <c r="AG28" s="186"/>
      <c r="AH28" s="186"/>
      <c r="AJ28" s="186"/>
      <c r="AK28" s="186"/>
    </row>
    <row r="29" spans="1:37" s="196" customFormat="1" hidden="1" outlineLevel="1" x14ac:dyDescent="0.2">
      <c r="G29" s="175" t="str">
        <f t="shared" si="17"/>
        <v>Contrôle EBIT 0 Vaux Le Pénil</v>
      </c>
      <c r="H29" s="178"/>
      <c r="I29" s="186">
        <f>'Vaux Le Pénil'!H382</f>
        <v>0</v>
      </c>
      <c r="J29" s="186">
        <f>'Vaux Le Pénil'!I382</f>
        <v>0</v>
      </c>
      <c r="K29" s="186">
        <f>'Vaux Le Pénil'!J382</f>
        <v>0</v>
      </c>
      <c r="L29" s="186">
        <f>'Vaux Le Pénil'!K382</f>
        <v>0</v>
      </c>
      <c r="M29" s="186">
        <f>'Vaux Le Pénil'!L382</f>
        <v>0</v>
      </c>
      <c r="N29" s="186">
        <f>'Vaux Le Pénil'!M382</f>
        <v>0</v>
      </c>
      <c r="O29" s="186">
        <f>'Vaux Le Pénil'!N382</f>
        <v>-5.5511151231257827E-17</v>
      </c>
      <c r="P29" s="186">
        <f>'Vaux Le Pénil'!O382</f>
        <v>8.8817841970012523E-16</v>
      </c>
      <c r="Q29" s="186">
        <f>'Vaux Le Pénil'!P382</f>
        <v>8.8817841970012523E-16</v>
      </c>
      <c r="R29" s="186">
        <f>'Vaux Le Pénil'!Q382</f>
        <v>1.7763568394002505E-15</v>
      </c>
      <c r="S29" s="186">
        <f>'Vaux Le Pénil'!R382</f>
        <v>1.7763568394002505E-15</v>
      </c>
      <c r="T29" s="186">
        <f>'Vaux Le Pénil'!S382</f>
        <v>1.7763568394002505E-15</v>
      </c>
      <c r="U29" s="186">
        <f>'Vaux Le Pénil'!T382</f>
        <v>1.7763568394002505E-15</v>
      </c>
      <c r="V29" s="186">
        <f>'Vaux Le Pénil'!U382</f>
        <v>2.6645352591003757E-15</v>
      </c>
      <c r="W29" s="186">
        <f>'Vaux Le Pénil'!V382</f>
        <v>-7.1054273576010019E-15</v>
      </c>
      <c r="X29" s="186">
        <f>'Vaux Le Pénil'!W382</f>
        <v>-7.1054273576010019E-15</v>
      </c>
      <c r="Y29" s="186">
        <f>'Vaux Le Pénil'!X382</f>
        <v>3.5527136788005009E-15</v>
      </c>
      <c r="Z29" s="186">
        <f>'Vaux Le Pénil'!Y382</f>
        <v>0</v>
      </c>
      <c r="AB29" s="186"/>
      <c r="AC29" s="186"/>
      <c r="AE29" s="186"/>
      <c r="AF29" s="186"/>
      <c r="AG29" s="186"/>
      <c r="AH29" s="186"/>
      <c r="AJ29" s="186"/>
      <c r="AK29" s="186"/>
    </row>
    <row r="30" spans="1:37" s="196" customFormat="1" hidden="1" outlineLevel="1" x14ac:dyDescent="0.2">
      <c r="G30" s="175" t="str">
        <f t="shared" si="17"/>
        <v>Contrôle EBIT 0 Activité Réseaux / DAAF</v>
      </c>
      <c r="H30" s="178"/>
      <c r="I30" s="186">
        <f>'Réseaux-DAAF'!H369</f>
        <v>0</v>
      </c>
      <c r="J30" s="186">
        <f>'Réseaux-DAAF'!I369</f>
        <v>-3.7747582837255322E-15</v>
      </c>
      <c r="K30" s="186">
        <f>'Réseaux-DAAF'!J369</f>
        <v>-3.7747582837255322E-15</v>
      </c>
      <c r="L30" s="186">
        <f>'Réseaux-DAAF'!K369</f>
        <v>0</v>
      </c>
      <c r="M30" s="186">
        <f>'Réseaux-DAAF'!L369</f>
        <v>0</v>
      </c>
      <c r="N30" s="186">
        <f>'Réseaux-DAAF'!M369</f>
        <v>0</v>
      </c>
      <c r="O30" s="186" t="e">
        <f>'Réseaux-DAAF'!N369</f>
        <v>#REF!</v>
      </c>
      <c r="P30" s="186" t="e">
        <f>'Réseaux-DAAF'!O369</f>
        <v>#REF!</v>
      </c>
      <c r="Q30" s="186" t="e">
        <f>'Réseaux-DAAF'!P369</f>
        <v>#REF!</v>
      </c>
      <c r="R30" s="186" t="e">
        <f>'Réseaux-DAAF'!Q369</f>
        <v>#REF!</v>
      </c>
      <c r="S30" s="186" t="e">
        <f>'Réseaux-DAAF'!R369</f>
        <v>#REF!</v>
      </c>
      <c r="T30" s="186" t="e">
        <f>'Réseaux-DAAF'!S369</f>
        <v>#REF!</v>
      </c>
      <c r="U30" s="186" t="e">
        <f>'Réseaux-DAAF'!T369</f>
        <v>#REF!</v>
      </c>
      <c r="V30" s="186" t="e">
        <f>'Réseaux-DAAF'!U369</f>
        <v>#REF!</v>
      </c>
      <c r="W30" s="186" t="e">
        <f>'Réseaux-DAAF'!V369</f>
        <v>#REF!</v>
      </c>
      <c r="X30" s="186" t="e">
        <f>'Réseaux-DAAF'!W369</f>
        <v>#REF!</v>
      </c>
      <c r="Y30" s="186" t="e">
        <f>'Réseaux-DAAF'!X369</f>
        <v>#REF!</v>
      </c>
      <c r="Z30" s="186">
        <f>'Réseaux-DAAF'!Y369</f>
        <v>0</v>
      </c>
      <c r="AB30" s="186"/>
      <c r="AC30" s="186"/>
      <c r="AE30" s="186"/>
      <c r="AF30" s="186"/>
      <c r="AG30" s="186"/>
      <c r="AH30" s="186"/>
      <c r="AJ30" s="186"/>
      <c r="AK30" s="186"/>
    </row>
    <row r="31" spans="1:37" s="196" customFormat="1" hidden="1" outlineLevel="1" x14ac:dyDescent="0.2">
      <c r="G31" s="175" t="str">
        <f t="shared" si="17"/>
        <v>Contrôle EBIT 0 Secteur Robinetterie Public</v>
      </c>
      <c r="H31" s="178"/>
      <c r="I31" s="186">
        <f>'Secteur Rob.Public'!H382</f>
        <v>0</v>
      </c>
      <c r="J31" s="186">
        <f>'Secteur Rob.Public'!I382</f>
        <v>0</v>
      </c>
      <c r="K31" s="186">
        <f>'Secteur Rob.Public'!J382</f>
        <v>0</v>
      </c>
      <c r="L31" s="186">
        <f>'Secteur Rob.Public'!K382</f>
        <v>0</v>
      </c>
      <c r="M31" s="186">
        <f>'Secteur Rob.Public'!L382</f>
        <v>0</v>
      </c>
      <c r="N31" s="186">
        <f>'Secteur Rob.Public'!M382</f>
        <v>0</v>
      </c>
      <c r="O31" s="186">
        <f>'Secteur Rob.Public'!N382</f>
        <v>1.1368683772161603E-13</v>
      </c>
      <c r="P31" s="186">
        <f>'Secteur Rob.Public'!O382</f>
        <v>-3.979039320256561E-13</v>
      </c>
      <c r="Q31" s="186">
        <f>'Secteur Rob.Public'!P382</f>
        <v>-3.4106051316484809E-13</v>
      </c>
      <c r="R31" s="186">
        <f>'Secteur Rob.Public'!Q382</f>
        <v>2.2737367544323206E-13</v>
      </c>
      <c r="S31" s="186">
        <f>'Secteur Rob.Public'!R382</f>
        <v>1.3642420526593924E-12</v>
      </c>
      <c r="T31" s="186">
        <f>'Secteur Rob.Public'!S382</f>
        <v>1.8189894035458565E-12</v>
      </c>
      <c r="U31" s="186">
        <f>'Secteur Rob.Public'!T382</f>
        <v>1.3642420526593924E-12</v>
      </c>
      <c r="V31" s="186">
        <f>'Secteur Rob.Public'!U382</f>
        <v>9.0949470177292824E-13</v>
      </c>
      <c r="W31" s="186">
        <f>'Secteur Rob.Public'!V382</f>
        <v>1.3642420526593924E-12</v>
      </c>
      <c r="X31" s="186">
        <f>'Secteur Rob.Public'!W382</f>
        <v>9.0949470177292824E-13</v>
      </c>
      <c r="Y31" s="186">
        <f>'Secteur Rob.Public'!X382</f>
        <v>0</v>
      </c>
      <c r="Z31" s="186">
        <f>'Secteur Rob.Public'!Y382</f>
        <v>0</v>
      </c>
      <c r="AB31" s="186"/>
      <c r="AC31" s="186"/>
      <c r="AE31" s="186"/>
      <c r="AF31" s="186"/>
      <c r="AG31" s="186"/>
      <c r="AH31" s="186"/>
      <c r="AJ31" s="186"/>
      <c r="AK31" s="186"/>
    </row>
    <row r="32" spans="1:37" s="196" customFormat="1" hidden="1" outlineLevel="1" x14ac:dyDescent="0.2">
      <c r="G32" s="175" t="str">
        <f t="shared" si="17"/>
        <v>Contrôle EBIT 0 Paris Montlouis</v>
      </c>
      <c r="H32" s="178"/>
      <c r="I32" s="186">
        <f>Montlouis!H382</f>
        <v>-1.0231815394945443E-12</v>
      </c>
      <c r="J32" s="186">
        <f>Montlouis!I382</f>
        <v>0</v>
      </c>
      <c r="K32" s="186">
        <f>Montlouis!J382</f>
        <v>0</v>
      </c>
      <c r="L32" s="186">
        <f>Montlouis!K382</f>
        <v>0</v>
      </c>
      <c r="M32" s="186">
        <f>Montlouis!L382</f>
        <v>0</v>
      </c>
      <c r="N32" s="186">
        <f>Montlouis!M382</f>
        <v>0</v>
      </c>
      <c r="O32" s="186">
        <f>Montlouis!N382</f>
        <v>5.6843418860808015E-14</v>
      </c>
      <c r="P32" s="186">
        <f>Montlouis!O382</f>
        <v>1.7053025658242404E-13</v>
      </c>
      <c r="Q32" s="186">
        <f>Montlouis!P382</f>
        <v>1.7053025658242404E-13</v>
      </c>
      <c r="R32" s="186">
        <f>Montlouis!Q382</f>
        <v>-1.1368683772161603E-13</v>
      </c>
      <c r="S32" s="186">
        <f>Montlouis!R382</f>
        <v>1.1368683772161603E-13</v>
      </c>
      <c r="T32" s="186">
        <f>Montlouis!S382</f>
        <v>-3.4106051316484809E-13</v>
      </c>
      <c r="U32" s="186">
        <f>Montlouis!T382</f>
        <v>1.2505552149377763E-12</v>
      </c>
      <c r="V32" s="186">
        <f>Montlouis!U382</f>
        <v>6.8212102632969618E-13</v>
      </c>
      <c r="W32" s="186">
        <f>Montlouis!V382</f>
        <v>-2.2737367544323206E-13</v>
      </c>
      <c r="X32" s="186">
        <f>Montlouis!W382</f>
        <v>6.8212102632969618E-13</v>
      </c>
      <c r="Y32" s="186">
        <f>Montlouis!X382</f>
        <v>0</v>
      </c>
      <c r="Z32" s="186">
        <f>Montlouis!Y382</f>
        <v>0</v>
      </c>
      <c r="AB32" s="186"/>
      <c r="AC32" s="186"/>
      <c r="AE32" s="186"/>
      <c r="AF32" s="186"/>
      <c r="AG32" s="186"/>
      <c r="AH32" s="186"/>
      <c r="AJ32" s="186"/>
      <c r="AK32" s="186"/>
    </row>
    <row r="33" spans="1:37" s="196" customFormat="1" hidden="1" outlineLevel="1" x14ac:dyDescent="0.2">
      <c r="G33" s="175" t="str">
        <f t="shared" si="17"/>
        <v>Contrôle EBIT 0 Sani Moderne</v>
      </c>
      <c r="H33" s="178"/>
      <c r="I33" s="186">
        <f>Sani!H382</f>
        <v>0</v>
      </c>
      <c r="J33" s="186">
        <f>Sani!I382</f>
        <v>0</v>
      </c>
      <c r="K33" s="186">
        <f>Sani!J382</f>
        <v>0</v>
      </c>
      <c r="L33" s="186">
        <f>Sani!K382</f>
        <v>0</v>
      </c>
      <c r="M33" s="186">
        <f>Sani!L382</f>
        <v>0</v>
      </c>
      <c r="N33" s="186">
        <f>Sani!M382</f>
        <v>0</v>
      </c>
      <c r="O33" s="186">
        <f>Sani!N382</f>
        <v>-8.8817841970012523E-16</v>
      </c>
      <c r="P33" s="186">
        <f>Sani!O382</f>
        <v>-1.7763568394002505E-15</v>
      </c>
      <c r="Q33" s="186">
        <f>Sani!P382</f>
        <v>-1.7763568394002505E-15</v>
      </c>
      <c r="R33" s="186">
        <f>Sani!Q382</f>
        <v>-1.7763568394002505E-15</v>
      </c>
      <c r="S33" s="186">
        <f>Sani!R382</f>
        <v>-1.7763568394002505E-15</v>
      </c>
      <c r="T33" s="186">
        <f>Sani!S382</f>
        <v>-1.7763568394002505E-15</v>
      </c>
      <c r="U33" s="186">
        <f>Sani!T382</f>
        <v>-3.5527136788005009E-15</v>
      </c>
      <c r="V33" s="186">
        <f>Sani!U382</f>
        <v>-3.5527136788005009E-15</v>
      </c>
      <c r="W33" s="186">
        <f>Sani!V382</f>
        <v>-3.5527136788005009E-15</v>
      </c>
      <c r="X33" s="186">
        <f>Sani!W382</f>
        <v>-1.7763568394002505E-15</v>
      </c>
      <c r="Y33" s="186">
        <f>Sani!X382</f>
        <v>-1.7763568394002505E-15</v>
      </c>
      <c r="Z33" s="186">
        <f>Sani!Y382</f>
        <v>0</v>
      </c>
      <c r="AB33" s="186"/>
      <c r="AC33" s="186"/>
      <c r="AE33" s="186"/>
      <c r="AF33" s="186"/>
      <c r="AG33" s="186"/>
      <c r="AH33" s="186"/>
      <c r="AJ33" s="186"/>
      <c r="AK33" s="186"/>
    </row>
    <row r="34" spans="1:37" s="196" customFormat="1" hidden="1" outlineLevel="1" x14ac:dyDescent="0.2">
      <c r="G34" s="175" t="str">
        <f t="shared" si="17"/>
        <v>Contrôle EBIT 0 Secteur Robinetterie Privée</v>
      </c>
      <c r="H34" s="178"/>
      <c r="I34" s="186">
        <f>'Secteur Rob.Privée'!H382</f>
        <v>0</v>
      </c>
      <c r="J34" s="186">
        <f>'Secteur Rob.Privée'!I382</f>
        <v>0</v>
      </c>
      <c r="K34" s="186">
        <f>'Secteur Rob.Privée'!J382</f>
        <v>0</v>
      </c>
      <c r="L34" s="186">
        <f>'Secteur Rob.Privée'!K382</f>
        <v>0</v>
      </c>
      <c r="M34" s="186">
        <f>'Secteur Rob.Privée'!L382</f>
        <v>0</v>
      </c>
      <c r="N34" s="186">
        <f>'Secteur Rob.Privée'!M382</f>
        <v>0</v>
      </c>
      <c r="O34" s="186">
        <f>'Secteur Rob.Privée'!N382</f>
        <v>1.1368683772161603E-13</v>
      </c>
      <c r="P34" s="186">
        <f>'Secteur Rob.Privée'!O382</f>
        <v>8.5265128291212022E-14</v>
      </c>
      <c r="Q34" s="186">
        <f>'Secteur Rob.Privée'!P382</f>
        <v>2.2737367544323206E-13</v>
      </c>
      <c r="R34" s="186">
        <f>'Secteur Rob.Privée'!Q382</f>
        <v>1.1368683772161603E-13</v>
      </c>
      <c r="S34" s="186">
        <f>'Secteur Rob.Privée'!R382</f>
        <v>3.4106051316484809E-13</v>
      </c>
      <c r="T34" s="186">
        <f>'Secteur Rob.Privée'!S382</f>
        <v>-1.1368683772161603E-13</v>
      </c>
      <c r="U34" s="186">
        <f>'Secteur Rob.Privée'!T382</f>
        <v>1.4779288903810084E-12</v>
      </c>
      <c r="V34" s="186">
        <f>'Secteur Rob.Privée'!U382</f>
        <v>4.5474735088646412E-13</v>
      </c>
      <c r="W34" s="186">
        <f>'Secteur Rob.Privée'!V382</f>
        <v>0</v>
      </c>
      <c r="X34" s="186">
        <f>'Secteur Rob.Privée'!W382</f>
        <v>4.5474735088646412E-13</v>
      </c>
      <c r="Y34" s="186">
        <f>'Secteur Rob.Privée'!X382</f>
        <v>-2.2737367544323206E-13</v>
      </c>
      <c r="Z34" s="186">
        <f>'Secteur Rob.Privée'!Y382</f>
        <v>0</v>
      </c>
      <c r="AB34" s="186"/>
      <c r="AC34" s="186"/>
      <c r="AE34" s="186"/>
      <c r="AF34" s="186"/>
      <c r="AG34" s="186"/>
      <c r="AH34" s="186"/>
      <c r="AJ34" s="186"/>
      <c r="AK34" s="186"/>
    </row>
    <row r="35" spans="1:37" s="196" customFormat="1" hidden="1" outlineLevel="1" x14ac:dyDescent="0.2">
      <c r="G35" s="175" t="str">
        <f t="shared" si="17"/>
        <v>Contrôle EBIT 0 Total Secteur Robinetterie</v>
      </c>
      <c r="H35" s="178"/>
      <c r="I35" s="186">
        <f>'Secteur Robinetterie'!H382</f>
        <v>0</v>
      </c>
      <c r="J35" s="186">
        <f>'Secteur Robinetterie'!I382</f>
        <v>0</v>
      </c>
      <c r="K35" s="186">
        <f>'Secteur Robinetterie'!J382</f>
        <v>0</v>
      </c>
      <c r="L35" s="186">
        <f>'Secteur Robinetterie'!K382</f>
        <v>0</v>
      </c>
      <c r="M35" s="186">
        <f>'Secteur Robinetterie'!L382</f>
        <v>0</v>
      </c>
      <c r="N35" s="186">
        <f>'Secteur Robinetterie'!M382</f>
        <v>-3.4106051316484809E-13</v>
      </c>
      <c r="O35" s="186">
        <f>'Secteur Robinetterie'!N382</f>
        <v>-4.5474735088646412E-13</v>
      </c>
      <c r="P35" s="186">
        <f>'Secteur Robinetterie'!O382</f>
        <v>-2.2737367544323206E-13</v>
      </c>
      <c r="Q35" s="186">
        <f>'Secteur Robinetterie'!P382</f>
        <v>-2.2737367544323206E-13</v>
      </c>
      <c r="R35" s="186">
        <f>'Secteur Robinetterie'!Q382</f>
        <v>-4.5474735088646412E-13</v>
      </c>
      <c r="S35" s="186">
        <f>'Secteur Robinetterie'!R382</f>
        <v>4.5474735088646412E-13</v>
      </c>
      <c r="T35" s="186">
        <f>'Secteur Robinetterie'!S382</f>
        <v>-9.0949470177292824E-13</v>
      </c>
      <c r="U35" s="186">
        <f>'Secteur Robinetterie'!T382</f>
        <v>0</v>
      </c>
      <c r="V35" s="186">
        <f>'Secteur Robinetterie'!U382</f>
        <v>-1.0004441719502211E-11</v>
      </c>
      <c r="W35" s="186">
        <f>'Secteur Robinetterie'!V382</f>
        <v>1.0004441719502211E-11</v>
      </c>
      <c r="X35" s="186">
        <f>'Secteur Robinetterie'!W382</f>
        <v>0</v>
      </c>
      <c r="Y35" s="186">
        <f>'Secteur Robinetterie'!X382</f>
        <v>2.7284841053187847E-12</v>
      </c>
      <c r="Z35" s="186">
        <f>'Secteur Robinetterie'!Y382</f>
        <v>0</v>
      </c>
      <c r="AB35" s="186"/>
      <c r="AC35" s="186"/>
      <c r="AE35" s="186"/>
      <c r="AF35" s="186"/>
      <c r="AG35" s="186"/>
      <c r="AH35" s="186"/>
      <c r="AJ35" s="186"/>
      <c r="AK35" s="186"/>
    </row>
    <row r="36" spans="1:37" s="196" customFormat="1" collapsed="1" x14ac:dyDescent="0.2">
      <c r="G36" s="175"/>
      <c r="H36" s="178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B36" s="186"/>
      <c r="AC36" s="186"/>
      <c r="AE36" s="186"/>
      <c r="AF36" s="186"/>
      <c r="AG36" s="186"/>
      <c r="AH36" s="186"/>
      <c r="AJ36" s="186"/>
      <c r="AK36" s="186"/>
    </row>
    <row r="37" spans="1:37" x14ac:dyDescent="0.2">
      <c r="AC37" s="128"/>
      <c r="AF37" s="128"/>
    </row>
    <row r="38" spans="1:37" x14ac:dyDescent="0.2">
      <c r="AC38" s="128"/>
      <c r="AF38" s="128"/>
    </row>
    <row r="39" spans="1:37" x14ac:dyDescent="0.2">
      <c r="AC39" s="128"/>
      <c r="AF39" s="128"/>
    </row>
    <row r="40" spans="1:37" x14ac:dyDescent="0.2">
      <c r="B40" s="196"/>
      <c r="C40" s="196"/>
      <c r="D40" s="196"/>
      <c r="E40" s="196"/>
      <c r="AC40" s="128"/>
      <c r="AF40" s="128"/>
    </row>
    <row r="41" spans="1:37" x14ac:dyDescent="0.2">
      <c r="B41" s="196"/>
      <c r="C41" s="196"/>
      <c r="D41" s="196"/>
      <c r="E41" s="196"/>
      <c r="AC41" s="128"/>
      <c r="AF41" s="128"/>
    </row>
    <row r="42" spans="1:37" x14ac:dyDescent="0.2">
      <c r="B42" s="196"/>
      <c r="C42" s="196"/>
      <c r="D42" s="196"/>
      <c r="E42" s="196"/>
      <c r="AC42" s="128"/>
      <c r="AF42" s="128"/>
    </row>
    <row r="43" spans="1:37" x14ac:dyDescent="0.2">
      <c r="B43" s="196"/>
      <c r="C43" s="196"/>
      <c r="D43" s="196"/>
      <c r="E43" s="196"/>
      <c r="AC43" s="128"/>
      <c r="AF43" s="128"/>
    </row>
    <row r="44" spans="1:37" x14ac:dyDescent="0.2">
      <c r="A44" s="196"/>
      <c r="B44" s="196"/>
      <c r="C44" s="196"/>
      <c r="D44" s="196"/>
      <c r="AC44" s="128"/>
      <c r="AF44" s="128"/>
    </row>
    <row r="45" spans="1:37" x14ac:dyDescent="0.2">
      <c r="A45" s="196"/>
      <c r="B45" s="196"/>
      <c r="C45" s="196"/>
      <c r="D45" s="196"/>
      <c r="AC45" s="128"/>
      <c r="AF45" s="128"/>
    </row>
    <row r="46" spans="1:37" x14ac:dyDescent="0.2">
      <c r="A46" s="196"/>
      <c r="B46" s="196"/>
      <c r="C46" s="196"/>
      <c r="D46" s="196"/>
      <c r="AC46" s="128"/>
      <c r="AF46" s="128"/>
    </row>
    <row r="47" spans="1:37" x14ac:dyDescent="0.2">
      <c r="A47" s="196"/>
      <c r="B47" s="196"/>
      <c r="C47" s="196"/>
      <c r="D47" s="196"/>
      <c r="N47" s="196" t="s">
        <v>381</v>
      </c>
      <c r="AC47" s="128"/>
      <c r="AF47" s="128"/>
    </row>
    <row r="48" spans="1:37" x14ac:dyDescent="0.2">
      <c r="A48" s="196"/>
      <c r="B48" s="196"/>
      <c r="C48" s="196"/>
      <c r="D48" s="196"/>
      <c r="AC48" s="128"/>
      <c r="AF48" s="128"/>
    </row>
    <row r="49" spans="1:32" x14ac:dyDescent="0.2">
      <c r="A49" s="196"/>
      <c r="B49" s="196"/>
      <c r="C49" s="196"/>
      <c r="D49" s="196"/>
      <c r="AC49" s="128"/>
      <c r="AF49" s="128"/>
    </row>
    <row r="50" spans="1:32" x14ac:dyDescent="0.2">
      <c r="A50" s="196"/>
      <c r="B50" s="196"/>
      <c r="C50" s="196"/>
      <c r="D50" s="196"/>
      <c r="AC50" s="128"/>
      <c r="AF50" s="128"/>
    </row>
    <row r="51" spans="1:32" x14ac:dyDescent="0.2">
      <c r="A51" s="196"/>
      <c r="B51" s="196"/>
      <c r="C51" s="196"/>
      <c r="D51" s="196"/>
      <c r="AC51" s="128"/>
      <c r="AF51" s="128"/>
    </row>
    <row r="52" spans="1:32" x14ac:dyDescent="0.2">
      <c r="A52" s="196"/>
      <c r="B52" s="196"/>
      <c r="C52" s="196"/>
      <c r="D52" s="196"/>
      <c r="AC52" s="128"/>
      <c r="AF52" s="128"/>
    </row>
    <row r="53" spans="1:32" x14ac:dyDescent="0.2">
      <c r="A53" s="196"/>
      <c r="B53" s="196"/>
      <c r="C53" s="196"/>
      <c r="D53" s="196"/>
      <c r="AC53" s="128"/>
      <c r="AF53" s="128"/>
    </row>
    <row r="54" spans="1:32" x14ac:dyDescent="0.2">
      <c r="AC54" s="128"/>
      <c r="AF54" s="128"/>
    </row>
    <row r="55" spans="1:32" x14ac:dyDescent="0.2">
      <c r="AC55" s="128"/>
      <c r="AF55" s="128"/>
    </row>
    <row r="56" spans="1:32" x14ac:dyDescent="0.2">
      <c r="AC56" s="128"/>
      <c r="AF56" s="128"/>
    </row>
    <row r="57" spans="1:32" x14ac:dyDescent="0.2">
      <c r="AC57" s="128"/>
      <c r="AF57" s="128"/>
    </row>
    <row r="58" spans="1:32" x14ac:dyDescent="0.2">
      <c r="AC58" s="128"/>
      <c r="AF58" s="128"/>
    </row>
    <row r="59" spans="1:32" x14ac:dyDescent="0.2">
      <c r="AC59" s="128"/>
      <c r="AF59" s="128"/>
    </row>
    <row r="60" spans="1:32" x14ac:dyDescent="0.2">
      <c r="AC60" s="128"/>
      <c r="AF60" s="128"/>
    </row>
    <row r="61" spans="1:32" x14ac:dyDescent="0.2">
      <c r="AC61" s="128"/>
      <c r="AF61" s="128"/>
    </row>
    <row r="62" spans="1:32" x14ac:dyDescent="0.2">
      <c r="AC62" s="128"/>
      <c r="AF62" s="128"/>
    </row>
    <row r="63" spans="1:32" x14ac:dyDescent="0.2">
      <c r="AC63" s="128"/>
      <c r="AF63" s="128"/>
    </row>
    <row r="64" spans="1:32" x14ac:dyDescent="0.2">
      <c r="AC64" s="128"/>
      <c r="AF64" s="128"/>
    </row>
    <row r="65" spans="29:32" x14ac:dyDescent="0.2">
      <c r="AC65" s="128"/>
      <c r="AF65" s="128"/>
    </row>
    <row r="66" spans="29:32" x14ac:dyDescent="0.2">
      <c r="AC66" s="128"/>
      <c r="AF66" s="128"/>
    </row>
    <row r="67" spans="29:32" x14ac:dyDescent="0.2">
      <c r="AC67" s="128"/>
      <c r="AF67" s="128"/>
    </row>
    <row r="68" spans="29:32" x14ac:dyDescent="0.2">
      <c r="AC68" s="128"/>
      <c r="AF68" s="128"/>
    </row>
    <row r="69" spans="29:32" x14ac:dyDescent="0.2">
      <c r="AC69" s="128"/>
      <c r="AF69" s="128"/>
    </row>
    <row r="70" spans="29:32" x14ac:dyDescent="0.2">
      <c r="AC70" s="128"/>
      <c r="AF70" s="128"/>
    </row>
    <row r="71" spans="29:32" x14ac:dyDescent="0.2">
      <c r="AC71" s="128"/>
      <c r="AF71" s="128"/>
    </row>
    <row r="72" spans="29:32" x14ac:dyDescent="0.2">
      <c r="AC72" s="128"/>
      <c r="AF72" s="128"/>
    </row>
    <row r="73" spans="29:32" x14ac:dyDescent="0.2">
      <c r="AC73" s="128"/>
      <c r="AF73" s="128"/>
    </row>
    <row r="74" spans="29:32" x14ac:dyDescent="0.2">
      <c r="AC74" s="128"/>
      <c r="AF74" s="128"/>
    </row>
    <row r="75" spans="29:32" x14ac:dyDescent="0.2">
      <c r="AC75" s="128"/>
      <c r="AF75" s="128"/>
    </row>
    <row r="76" spans="29:32" x14ac:dyDescent="0.2">
      <c r="AC76" s="128"/>
      <c r="AF76" s="128"/>
    </row>
    <row r="77" spans="29:32" x14ac:dyDescent="0.2">
      <c r="AC77" s="128"/>
      <c r="AF77" s="128"/>
    </row>
    <row r="78" spans="29:32" x14ac:dyDescent="0.2">
      <c r="AC78" s="128"/>
      <c r="AF78" s="128"/>
    </row>
    <row r="79" spans="29:32" x14ac:dyDescent="0.2">
      <c r="AC79" s="128"/>
      <c r="AF79" s="128"/>
    </row>
    <row r="80" spans="29:32" x14ac:dyDescent="0.2">
      <c r="AC80" s="128"/>
      <c r="AF80" s="128"/>
    </row>
    <row r="81" spans="29:32" x14ac:dyDescent="0.2">
      <c r="AC81" s="128"/>
      <c r="AF81" s="128"/>
    </row>
    <row r="82" spans="29:32" x14ac:dyDescent="0.2">
      <c r="AC82" s="128"/>
      <c r="AF82" s="128"/>
    </row>
    <row r="83" spans="29:32" x14ac:dyDescent="0.2">
      <c r="AC83" s="128"/>
      <c r="AF83" s="128"/>
    </row>
    <row r="84" spans="29:32" x14ac:dyDescent="0.2">
      <c r="AC84" s="128"/>
      <c r="AF84" s="128"/>
    </row>
    <row r="85" spans="29:32" x14ac:dyDescent="0.2">
      <c r="AC85" s="128"/>
      <c r="AF85" s="128"/>
    </row>
    <row r="86" spans="29:32" x14ac:dyDescent="0.2">
      <c r="AC86" s="128"/>
      <c r="AF86" s="128"/>
    </row>
    <row r="87" spans="29:32" x14ac:dyDescent="0.2">
      <c r="AC87" s="128"/>
      <c r="AF87" s="128"/>
    </row>
    <row r="88" spans="29:32" x14ac:dyDescent="0.2">
      <c r="AC88" s="128"/>
      <c r="AF88" s="128"/>
    </row>
    <row r="89" spans="29:32" x14ac:dyDescent="0.2">
      <c r="AC89" s="128"/>
      <c r="AF89" s="128"/>
    </row>
    <row r="90" spans="29:32" x14ac:dyDescent="0.2">
      <c r="AC90" s="128"/>
      <c r="AF90" s="128"/>
    </row>
    <row r="91" spans="29:32" x14ac:dyDescent="0.2">
      <c r="AC91" s="128"/>
      <c r="AF91" s="128"/>
    </row>
    <row r="92" spans="29:32" x14ac:dyDescent="0.2">
      <c r="AC92" s="128"/>
      <c r="AF92" s="128"/>
    </row>
    <row r="93" spans="29:32" x14ac:dyDescent="0.2">
      <c r="AC93" s="128"/>
      <c r="AF93" s="128"/>
    </row>
    <row r="94" spans="29:32" x14ac:dyDescent="0.2">
      <c r="AC94" s="128"/>
      <c r="AF94" s="128"/>
    </row>
    <row r="95" spans="29:32" x14ac:dyDescent="0.2">
      <c r="AC95" s="128"/>
      <c r="AF95" s="128"/>
    </row>
    <row r="96" spans="29:32" x14ac:dyDescent="0.2">
      <c r="AC96" s="128"/>
      <c r="AF96" s="128"/>
    </row>
    <row r="97" spans="29:32" x14ac:dyDescent="0.2">
      <c r="AC97" s="128"/>
      <c r="AF97" s="128"/>
    </row>
    <row r="98" spans="29:32" x14ac:dyDescent="0.2">
      <c r="AC98" s="128"/>
      <c r="AF98" s="128"/>
    </row>
    <row r="99" spans="29:32" x14ac:dyDescent="0.2">
      <c r="AC99" s="128"/>
      <c r="AF99" s="128"/>
    </row>
    <row r="100" spans="29:32" x14ac:dyDescent="0.2">
      <c r="AC100" s="128"/>
      <c r="AF100" s="128"/>
    </row>
    <row r="101" spans="29:32" x14ac:dyDescent="0.2">
      <c r="AC101" s="128"/>
      <c r="AF101" s="128"/>
    </row>
    <row r="102" spans="29:32" x14ac:dyDescent="0.2">
      <c r="AC102" s="128"/>
      <c r="AF102" s="128"/>
    </row>
    <row r="103" spans="29:32" x14ac:dyDescent="0.2">
      <c r="AC103" s="128"/>
      <c r="AF103" s="128"/>
    </row>
    <row r="104" spans="29:32" x14ac:dyDescent="0.2">
      <c r="AC104" s="128"/>
      <c r="AF104" s="128"/>
    </row>
    <row r="105" spans="29:32" x14ac:dyDescent="0.2">
      <c r="AC105" s="128"/>
      <c r="AF105" s="128"/>
    </row>
    <row r="106" spans="29:32" x14ac:dyDescent="0.2">
      <c r="AC106" s="128"/>
      <c r="AF106" s="128"/>
    </row>
    <row r="107" spans="29:32" x14ac:dyDescent="0.2">
      <c r="AC107" s="128"/>
      <c r="AF107" s="128"/>
    </row>
    <row r="108" spans="29:32" x14ac:dyDescent="0.2">
      <c r="AC108" s="128"/>
      <c r="AF108" s="128"/>
    </row>
    <row r="109" spans="29:32" x14ac:dyDescent="0.2">
      <c r="AC109" s="128"/>
      <c r="AF109" s="128"/>
    </row>
    <row r="110" spans="29:32" x14ac:dyDescent="0.2">
      <c r="AC110" s="128"/>
      <c r="AF110" s="128"/>
    </row>
    <row r="111" spans="29:32" x14ac:dyDescent="0.2">
      <c r="AC111" s="128"/>
      <c r="AF111" s="128"/>
    </row>
    <row r="112" spans="29:32" x14ac:dyDescent="0.2">
      <c r="AC112" s="128"/>
      <c r="AF112" s="128"/>
    </row>
    <row r="113" spans="29:32" x14ac:dyDescent="0.2">
      <c r="AC113" s="128"/>
      <c r="AF113" s="128"/>
    </row>
    <row r="114" spans="29:32" x14ac:dyDescent="0.2">
      <c r="AC114" s="128"/>
      <c r="AF114" s="128"/>
    </row>
    <row r="115" spans="29:32" x14ac:dyDescent="0.2">
      <c r="AC115" s="128"/>
      <c r="AF115" s="128"/>
    </row>
    <row r="116" spans="29:32" x14ac:dyDescent="0.2">
      <c r="AC116" s="128"/>
      <c r="AF116" s="128"/>
    </row>
    <row r="117" spans="29:32" x14ac:dyDescent="0.2">
      <c r="AC117" s="128"/>
      <c r="AF117" s="128"/>
    </row>
    <row r="118" spans="29:32" x14ac:dyDescent="0.2">
      <c r="AC118" s="128"/>
      <c r="AF118" s="128"/>
    </row>
    <row r="119" spans="29:32" x14ac:dyDescent="0.2">
      <c r="AC119" s="128"/>
      <c r="AF119" s="128"/>
    </row>
    <row r="120" spans="29:32" x14ac:dyDescent="0.2">
      <c r="AC120" s="128"/>
      <c r="AF120" s="128"/>
    </row>
    <row r="121" spans="29:32" x14ac:dyDescent="0.2">
      <c r="AC121" s="128"/>
      <c r="AF121" s="128"/>
    </row>
    <row r="122" spans="29:32" x14ac:dyDescent="0.2">
      <c r="AC122" s="128"/>
      <c r="AF122" s="128"/>
    </row>
    <row r="123" spans="29:32" x14ac:dyDescent="0.2">
      <c r="AC123" s="128"/>
      <c r="AF123" s="128"/>
    </row>
    <row r="124" spans="29:32" x14ac:dyDescent="0.2">
      <c r="AC124" s="128"/>
      <c r="AF124" s="128"/>
    </row>
    <row r="125" spans="29:32" x14ac:dyDescent="0.2">
      <c r="AC125" s="128"/>
      <c r="AF125" s="128"/>
    </row>
    <row r="126" spans="29:32" x14ac:dyDescent="0.2">
      <c r="AC126" s="128"/>
      <c r="AF126" s="128"/>
    </row>
    <row r="127" spans="29:32" x14ac:dyDescent="0.2">
      <c r="AC127" s="128"/>
      <c r="AF127" s="128"/>
    </row>
    <row r="128" spans="29:32" x14ac:dyDescent="0.2">
      <c r="AC128" s="128"/>
      <c r="AF128" s="128"/>
    </row>
    <row r="129" spans="29:32" x14ac:dyDescent="0.2">
      <c r="AC129" s="128"/>
      <c r="AF129" s="128"/>
    </row>
    <row r="130" spans="29:32" x14ac:dyDescent="0.2">
      <c r="AC130" s="128"/>
      <c r="AF130" s="128"/>
    </row>
    <row r="131" spans="29:32" x14ac:dyDescent="0.2">
      <c r="AC131" s="128"/>
      <c r="AF131" s="128"/>
    </row>
    <row r="132" spans="29:32" x14ac:dyDescent="0.2">
      <c r="AC132" s="128"/>
      <c r="AF132" s="128"/>
    </row>
    <row r="133" spans="29:32" x14ac:dyDescent="0.2">
      <c r="AC133" s="128"/>
      <c r="AF133" s="128"/>
    </row>
    <row r="134" spans="29:32" x14ac:dyDescent="0.2">
      <c r="AC134" s="128"/>
      <c r="AF134" s="128"/>
    </row>
    <row r="135" spans="29:32" x14ac:dyDescent="0.2">
      <c r="AC135" s="128"/>
      <c r="AF135" s="128"/>
    </row>
    <row r="136" spans="29:32" x14ac:dyDescent="0.2">
      <c r="AC136" s="128"/>
      <c r="AF136" s="128"/>
    </row>
    <row r="137" spans="29:32" x14ac:dyDescent="0.2">
      <c r="AC137" s="128"/>
      <c r="AF137" s="128"/>
    </row>
    <row r="138" spans="29:32" x14ac:dyDescent="0.2">
      <c r="AC138" s="128"/>
      <c r="AF138" s="128"/>
    </row>
    <row r="139" spans="29:32" x14ac:dyDescent="0.2">
      <c r="AC139" s="128"/>
      <c r="AF139" s="128"/>
    </row>
    <row r="140" spans="29:32" x14ac:dyDescent="0.2">
      <c r="AC140" s="128"/>
      <c r="AF140" s="128"/>
    </row>
    <row r="141" spans="29:32" x14ac:dyDescent="0.2">
      <c r="AC141" s="128"/>
      <c r="AF141" s="128"/>
    </row>
    <row r="142" spans="29:32" x14ac:dyDescent="0.2">
      <c r="AC142" s="128"/>
      <c r="AF142" s="128"/>
    </row>
    <row r="143" spans="29:32" x14ac:dyDescent="0.2">
      <c r="AC143" s="128"/>
      <c r="AF143" s="128"/>
    </row>
    <row r="144" spans="29:32" x14ac:dyDescent="0.2">
      <c r="AC144" s="128"/>
      <c r="AF144" s="128"/>
    </row>
    <row r="145" spans="27:32" x14ac:dyDescent="0.2">
      <c r="AC145" s="128"/>
      <c r="AF145" s="128"/>
    </row>
    <row r="146" spans="27:32" x14ac:dyDescent="0.2">
      <c r="AC146" s="128"/>
      <c r="AF146" s="128"/>
    </row>
    <row r="147" spans="27:32" x14ac:dyDescent="0.2">
      <c r="AC147" s="128"/>
      <c r="AF147" s="128"/>
    </row>
    <row r="148" spans="27:32" x14ac:dyDescent="0.2">
      <c r="AC148" s="128"/>
      <c r="AF148" s="128"/>
    </row>
    <row r="149" spans="27:32" x14ac:dyDescent="0.2">
      <c r="AC149" s="128"/>
      <c r="AF149" s="128"/>
    </row>
    <row r="150" spans="27:32" x14ac:dyDescent="0.2">
      <c r="AC150" s="128"/>
      <c r="AF150" s="128"/>
    </row>
    <row r="151" spans="27:32" x14ac:dyDescent="0.2">
      <c r="AC151" s="128"/>
      <c r="AF151" s="128"/>
    </row>
    <row r="152" spans="27:32" x14ac:dyDescent="0.2">
      <c r="AA152" s="168"/>
      <c r="AD152" s="168"/>
    </row>
    <row r="163" spans="27:30" x14ac:dyDescent="0.2">
      <c r="AA163" s="168"/>
      <c r="AD163" s="168"/>
    </row>
    <row r="164" spans="27:30" x14ac:dyDescent="0.2">
      <c r="AA164" s="168"/>
      <c r="AD164" s="168"/>
    </row>
    <row r="165" spans="27:30" x14ac:dyDescent="0.2">
      <c r="AA165" s="168"/>
      <c r="AD165" s="168"/>
    </row>
    <row r="167" spans="27:30" x14ac:dyDescent="0.2">
      <c r="AA167" s="168"/>
      <c r="AD167" s="168"/>
    </row>
    <row r="171" spans="27:30" x14ac:dyDescent="0.2">
      <c r="AA171" s="187"/>
      <c r="AD171" s="187"/>
    </row>
    <row r="184" spans="27:30" x14ac:dyDescent="0.2">
      <c r="AA184" s="168"/>
      <c r="AD184" s="168"/>
    </row>
    <row r="185" spans="27:30" x14ac:dyDescent="0.2">
      <c r="AA185" s="168"/>
      <c r="AD185" s="168"/>
    </row>
    <row r="186" spans="27:30" x14ac:dyDescent="0.2">
      <c r="AA186" s="168"/>
      <c r="AD186" s="168"/>
    </row>
    <row r="189" spans="27:30" x14ac:dyDescent="0.2">
      <c r="AA189" s="168"/>
      <c r="AD189" s="168"/>
    </row>
    <row r="190" spans="27:30" x14ac:dyDescent="0.2">
      <c r="AA190" s="168"/>
      <c r="AD190" s="168"/>
    </row>
    <row r="191" spans="27:30" x14ac:dyDescent="0.2">
      <c r="AA191" s="168"/>
      <c r="AD191" s="168"/>
    </row>
    <row r="193" spans="27:30" x14ac:dyDescent="0.2">
      <c r="AA193" s="168"/>
      <c r="AD193" s="168"/>
    </row>
    <row r="194" spans="27:30" x14ac:dyDescent="0.2">
      <c r="AA194" s="168"/>
      <c r="AD194" s="168"/>
    </row>
    <row r="195" spans="27:30" x14ac:dyDescent="0.2">
      <c r="AA195" s="168"/>
      <c r="AD195" s="168"/>
    </row>
    <row r="196" spans="27:30" x14ac:dyDescent="0.2">
      <c r="AA196" s="168"/>
      <c r="AD196" s="168"/>
    </row>
    <row r="197" spans="27:30" x14ac:dyDescent="0.2">
      <c r="AA197" s="168"/>
      <c r="AD197" s="168"/>
    </row>
    <row r="198" spans="27:30" x14ac:dyDescent="0.2">
      <c r="AA198" s="168"/>
      <c r="AD198" s="168"/>
    </row>
    <row r="199" spans="27:30" x14ac:dyDescent="0.2">
      <c r="AA199" s="168"/>
      <c r="AD199" s="168"/>
    </row>
    <row r="200" spans="27:30" x14ac:dyDescent="0.2">
      <c r="AA200" s="168"/>
      <c r="AD200" s="168"/>
    </row>
    <row r="212" spans="27:30" x14ac:dyDescent="0.2">
      <c r="AA212" s="187"/>
      <c r="AD212" s="187"/>
    </row>
    <row r="228" spans="27:30" x14ac:dyDescent="0.2">
      <c r="AA228" s="168"/>
      <c r="AD228" s="168"/>
    </row>
    <row r="229" spans="27:30" x14ac:dyDescent="0.2">
      <c r="AA229" s="168"/>
      <c r="AD229" s="168"/>
    </row>
    <row r="230" spans="27:30" x14ac:dyDescent="0.2">
      <c r="AA230" s="168"/>
      <c r="AD230" s="168"/>
    </row>
    <row r="231" spans="27:30" x14ac:dyDescent="0.2">
      <c r="AA231" s="168"/>
      <c r="AD231" s="168"/>
    </row>
    <row r="232" spans="27:30" x14ac:dyDescent="0.2">
      <c r="AA232" s="168"/>
      <c r="AD232" s="168"/>
    </row>
    <row r="233" spans="27:30" x14ac:dyDescent="0.2">
      <c r="AA233" s="168"/>
      <c r="AD233" s="168"/>
    </row>
    <row r="234" spans="27:30" x14ac:dyDescent="0.2">
      <c r="AA234" s="168"/>
      <c r="AD234" s="168"/>
    </row>
    <row r="235" spans="27:30" x14ac:dyDescent="0.2">
      <c r="AA235" s="168"/>
      <c r="AD235" s="168"/>
    </row>
    <row r="236" spans="27:30" x14ac:dyDescent="0.2">
      <c r="AA236" s="168"/>
      <c r="AD236" s="168"/>
    </row>
    <row r="237" spans="27:30" x14ac:dyDescent="0.2">
      <c r="AA237" s="168"/>
      <c r="AD237" s="168"/>
    </row>
    <row r="238" spans="27:30" x14ac:dyDescent="0.2">
      <c r="AA238" s="168"/>
      <c r="AD238" s="168"/>
    </row>
    <row r="239" spans="27:30" x14ac:dyDescent="0.2">
      <c r="AA239" s="168"/>
      <c r="AD239" s="168"/>
    </row>
    <row r="240" spans="27:30" x14ac:dyDescent="0.2">
      <c r="AA240" s="168"/>
      <c r="AD240" s="168"/>
    </row>
    <row r="241" spans="27:30" x14ac:dyDescent="0.2">
      <c r="AA241" s="187"/>
      <c r="AD241" s="187"/>
    </row>
    <row r="242" spans="27:30" x14ac:dyDescent="0.2">
      <c r="AA242" s="168"/>
      <c r="AD242" s="168"/>
    </row>
    <row r="243" spans="27:30" x14ac:dyDescent="0.2">
      <c r="AA243" s="168"/>
      <c r="AD243" s="168"/>
    </row>
    <row r="244" spans="27:30" x14ac:dyDescent="0.2">
      <c r="AA244" s="168"/>
      <c r="AD244" s="168"/>
    </row>
    <row r="246" spans="27:30" x14ac:dyDescent="0.2">
      <c r="AA246" s="187"/>
      <c r="AD246" s="187"/>
    </row>
    <row r="247" spans="27:30" x14ac:dyDescent="0.2">
      <c r="AA247" s="187"/>
      <c r="AD247" s="187"/>
    </row>
    <row r="251" spans="27:30" x14ac:dyDescent="0.2">
      <c r="AA251" s="187"/>
      <c r="AD251" s="187"/>
    </row>
    <row r="259" spans="27:30" x14ac:dyDescent="0.2">
      <c r="AA259" s="141"/>
      <c r="AD259" s="141"/>
    </row>
    <row r="260" spans="27:30" x14ac:dyDescent="0.2">
      <c r="AA260" s="141"/>
      <c r="AD260" s="141"/>
    </row>
    <row r="261" spans="27:30" x14ac:dyDescent="0.2">
      <c r="AA261" s="141"/>
      <c r="AD261" s="141"/>
    </row>
    <row r="262" spans="27:30" x14ac:dyDescent="0.2">
      <c r="AA262" s="141"/>
      <c r="AD262" s="141"/>
    </row>
    <row r="263" spans="27:30" x14ac:dyDescent="0.2">
      <c r="AA263" s="141"/>
      <c r="AD263" s="141"/>
    </row>
    <row r="264" spans="27:30" x14ac:dyDescent="0.2">
      <c r="AA264" s="141"/>
      <c r="AD264" s="141"/>
    </row>
    <row r="265" spans="27:30" x14ac:dyDescent="0.2">
      <c r="AA265" s="141"/>
      <c r="AD265" s="141"/>
    </row>
    <row r="266" spans="27:30" x14ac:dyDescent="0.2">
      <c r="AA266" s="141"/>
      <c r="AD266" s="141"/>
    </row>
    <row r="267" spans="27:30" x14ac:dyDescent="0.2">
      <c r="AA267" s="141"/>
      <c r="AD267" s="141"/>
    </row>
    <row r="268" spans="27:30" x14ac:dyDescent="0.2">
      <c r="AA268" s="141"/>
      <c r="AD268" s="141"/>
    </row>
    <row r="269" spans="27:30" x14ac:dyDescent="0.2">
      <c r="AA269" s="141"/>
      <c r="AD269" s="141"/>
    </row>
    <row r="270" spans="27:30" x14ac:dyDescent="0.2">
      <c r="AA270" s="141"/>
      <c r="AD270" s="141"/>
    </row>
    <row r="271" spans="27:30" x14ac:dyDescent="0.2">
      <c r="AA271" s="141"/>
      <c r="AD271" s="141"/>
    </row>
    <row r="272" spans="27:30" x14ac:dyDescent="0.2">
      <c r="AA272" s="141"/>
      <c r="AD272" s="141"/>
    </row>
    <row r="273" spans="27:30" x14ac:dyDescent="0.2">
      <c r="AA273" s="141"/>
      <c r="AD273" s="141"/>
    </row>
    <row r="274" spans="27:30" x14ac:dyDescent="0.2">
      <c r="AA274" s="141"/>
      <c r="AD274" s="141"/>
    </row>
    <row r="275" spans="27:30" x14ac:dyDescent="0.2">
      <c r="AA275" s="141"/>
      <c r="AD275" s="141"/>
    </row>
    <row r="276" spans="27:30" x14ac:dyDescent="0.2">
      <c r="AA276" s="141"/>
      <c r="AD276" s="141"/>
    </row>
    <row r="277" spans="27:30" x14ac:dyDescent="0.2">
      <c r="AA277" s="141"/>
      <c r="AD277" s="141"/>
    </row>
    <row r="278" spans="27:30" x14ac:dyDescent="0.2">
      <c r="AA278" s="141"/>
      <c r="AD278" s="141"/>
    </row>
    <row r="279" spans="27:30" x14ac:dyDescent="0.2">
      <c r="AA279" s="141"/>
      <c r="AD279" s="141"/>
    </row>
    <row r="280" spans="27:30" x14ac:dyDescent="0.2">
      <c r="AA280" s="141"/>
      <c r="AD280" s="141"/>
    </row>
    <row r="281" spans="27:30" x14ac:dyDescent="0.2">
      <c r="AA281" s="141"/>
      <c r="AD281" s="141"/>
    </row>
    <row r="282" spans="27:30" x14ac:dyDescent="0.2">
      <c r="AA282" s="141"/>
      <c r="AD282" s="141"/>
    </row>
    <row r="283" spans="27:30" x14ac:dyDescent="0.2">
      <c r="AA283" s="141"/>
      <c r="AD283" s="141"/>
    </row>
    <row r="284" spans="27:30" x14ac:dyDescent="0.2">
      <c r="AA284" s="141"/>
      <c r="AD284" s="141"/>
    </row>
    <row r="285" spans="27:30" x14ac:dyDescent="0.2">
      <c r="AA285" s="141"/>
      <c r="AD285" s="141"/>
    </row>
    <row r="286" spans="27:30" x14ac:dyDescent="0.2">
      <c r="AA286" s="141"/>
      <c r="AD286" s="141"/>
    </row>
    <row r="287" spans="27:30" x14ac:dyDescent="0.2">
      <c r="AA287" s="141"/>
      <c r="AD287" s="141"/>
    </row>
    <row r="288" spans="27:30" x14ac:dyDescent="0.2">
      <c r="AA288" s="141"/>
      <c r="AD288" s="141"/>
    </row>
    <row r="289" spans="27:30" x14ac:dyDescent="0.2">
      <c r="AA289" s="141"/>
      <c r="AD289" s="141"/>
    </row>
    <row r="290" spans="27:30" x14ac:dyDescent="0.2">
      <c r="AA290" s="141"/>
      <c r="AD290" s="141"/>
    </row>
    <row r="291" spans="27:30" x14ac:dyDescent="0.2">
      <c r="AA291" s="141"/>
      <c r="AD291" s="141"/>
    </row>
    <row r="292" spans="27:30" x14ac:dyDescent="0.2">
      <c r="AA292" s="141"/>
      <c r="AD292" s="141"/>
    </row>
    <row r="293" spans="27:30" x14ac:dyDescent="0.2">
      <c r="AA293" s="141"/>
      <c r="AD293" s="141"/>
    </row>
    <row r="294" spans="27:30" x14ac:dyDescent="0.2">
      <c r="AA294" s="141"/>
      <c r="AD294" s="141"/>
    </row>
    <row r="295" spans="27:30" x14ac:dyDescent="0.2">
      <c r="AA295" s="141"/>
      <c r="AD295" s="141"/>
    </row>
    <row r="296" spans="27:30" x14ac:dyDescent="0.2">
      <c r="AA296" s="141"/>
      <c r="AD296" s="141"/>
    </row>
    <row r="297" spans="27:30" x14ac:dyDescent="0.2">
      <c r="AA297" s="141"/>
      <c r="AD297" s="141"/>
    </row>
    <row r="298" spans="27:30" x14ac:dyDescent="0.2">
      <c r="AA298" s="141"/>
      <c r="AD298" s="141"/>
    </row>
    <row r="299" spans="27:30" x14ac:dyDescent="0.2">
      <c r="AA299" s="141"/>
      <c r="AD299" s="141"/>
    </row>
    <row r="300" spans="27:30" x14ac:dyDescent="0.2">
      <c r="AA300" s="141"/>
      <c r="AD300" s="141"/>
    </row>
    <row r="301" spans="27:30" x14ac:dyDescent="0.2">
      <c r="AA301" s="141"/>
      <c r="AD301" s="141"/>
    </row>
    <row r="302" spans="27:30" x14ac:dyDescent="0.2">
      <c r="AA302" s="141"/>
      <c r="AD302" s="141"/>
    </row>
    <row r="303" spans="27:30" x14ac:dyDescent="0.2">
      <c r="AA303" s="141"/>
      <c r="AD303" s="141"/>
    </row>
    <row r="333" spans="27:30" x14ac:dyDescent="0.2">
      <c r="AA333" s="141"/>
      <c r="AD333" s="141"/>
    </row>
    <row r="335" spans="27:30" x14ac:dyDescent="0.2">
      <c r="AA335" s="188"/>
      <c r="AD335" s="188"/>
    </row>
    <row r="336" spans="27:30" x14ac:dyDescent="0.2">
      <c r="AA336" s="141"/>
      <c r="AD336" s="141"/>
    </row>
    <row r="337" spans="27:30" x14ac:dyDescent="0.2">
      <c r="AA337" s="141"/>
      <c r="AD337" s="141"/>
    </row>
    <row r="338" spans="27:30" x14ac:dyDescent="0.2">
      <c r="AA338" s="141"/>
      <c r="AD338" s="141"/>
    </row>
    <row r="339" spans="27:30" x14ac:dyDescent="0.2">
      <c r="AA339" s="141"/>
      <c r="AD339" s="141"/>
    </row>
    <row r="340" spans="27:30" x14ac:dyDescent="0.2">
      <c r="AA340" s="141"/>
      <c r="AD340" s="141"/>
    </row>
    <row r="341" spans="27:30" x14ac:dyDescent="0.2">
      <c r="AA341" s="141"/>
      <c r="AD341" s="141"/>
    </row>
    <row r="342" spans="27:30" x14ac:dyDescent="0.2">
      <c r="AA342" s="141"/>
      <c r="AD342" s="141"/>
    </row>
    <row r="343" spans="27:30" x14ac:dyDescent="0.2">
      <c r="AA343" s="141"/>
      <c r="AD343" s="141"/>
    </row>
    <row r="344" spans="27:30" x14ac:dyDescent="0.2">
      <c r="AA344" s="188"/>
      <c r="AD344" s="188"/>
    </row>
    <row r="345" spans="27:30" x14ac:dyDescent="0.2">
      <c r="AA345" s="188"/>
      <c r="AD345" s="188"/>
    </row>
    <row r="346" spans="27:30" x14ac:dyDescent="0.2">
      <c r="AA346" s="188"/>
      <c r="AD346" s="188"/>
    </row>
    <row r="347" spans="27:30" x14ac:dyDescent="0.2">
      <c r="AA347" s="188"/>
      <c r="AD347" s="188"/>
    </row>
    <row r="348" spans="27:30" x14ac:dyDescent="0.2">
      <c r="AA348" s="188"/>
      <c r="AD348" s="188"/>
    </row>
    <row r="349" spans="27:30" x14ac:dyDescent="0.2">
      <c r="AA349" s="188"/>
      <c r="AD349" s="188"/>
    </row>
    <row r="350" spans="27:30" x14ac:dyDescent="0.2">
      <c r="AA350" s="188"/>
      <c r="AD350" s="188"/>
    </row>
    <row r="351" spans="27:30" x14ac:dyDescent="0.2">
      <c r="AA351" s="188"/>
      <c r="AD351" s="188"/>
    </row>
    <row r="352" spans="27:30" x14ac:dyDescent="0.2">
      <c r="AA352" s="188"/>
      <c r="AD352" s="188"/>
    </row>
    <row r="353" spans="27:30" x14ac:dyDescent="0.2">
      <c r="AA353" s="188"/>
      <c r="AD353" s="188"/>
    </row>
    <row r="354" spans="27:30" x14ac:dyDescent="0.2">
      <c r="AA354" s="188"/>
      <c r="AD354" s="188"/>
    </row>
    <row r="355" spans="27:30" x14ac:dyDescent="0.2">
      <c r="AA355" s="188"/>
      <c r="AD355" s="188"/>
    </row>
    <row r="356" spans="27:30" x14ac:dyDescent="0.2">
      <c r="AA356" s="188"/>
      <c r="AD356" s="188"/>
    </row>
    <row r="357" spans="27:30" x14ac:dyDescent="0.2">
      <c r="AA357" s="188"/>
      <c r="AD357" s="188"/>
    </row>
    <row r="358" spans="27:30" x14ac:dyDescent="0.2">
      <c r="AA358" s="188"/>
      <c r="AD358" s="188"/>
    </row>
    <row r="359" spans="27:30" x14ac:dyDescent="0.2">
      <c r="AA359" s="188"/>
      <c r="AD359" s="188"/>
    </row>
    <row r="360" spans="27:30" x14ac:dyDescent="0.2">
      <c r="AA360" s="188"/>
      <c r="AD360" s="188"/>
    </row>
    <row r="361" spans="27:30" x14ac:dyDescent="0.2">
      <c r="AA361" s="188"/>
      <c r="AD361" s="188"/>
    </row>
    <row r="362" spans="27:30" x14ac:dyDescent="0.2">
      <c r="AA362" s="188"/>
      <c r="AD362" s="188"/>
    </row>
    <row r="363" spans="27:30" x14ac:dyDescent="0.2">
      <c r="AA363" s="188"/>
      <c r="AD363" s="188"/>
    </row>
    <row r="364" spans="27:30" x14ac:dyDescent="0.2">
      <c r="AA364" s="188"/>
      <c r="AD364" s="188"/>
    </row>
    <row r="365" spans="27:30" x14ac:dyDescent="0.2">
      <c r="AA365" s="188"/>
      <c r="AD365" s="188"/>
    </row>
    <row r="366" spans="27:30" x14ac:dyDescent="0.2">
      <c r="AA366" s="188"/>
      <c r="AD366" s="188"/>
    </row>
    <row r="367" spans="27:30" x14ac:dyDescent="0.2">
      <c r="AA367" s="188"/>
      <c r="AD367" s="188"/>
    </row>
    <row r="368" spans="27:30" x14ac:dyDescent="0.2">
      <c r="AA368" s="188"/>
      <c r="AD368" s="188"/>
    </row>
    <row r="369" spans="27:30" x14ac:dyDescent="0.2">
      <c r="AA369" s="188"/>
      <c r="AD369" s="188"/>
    </row>
    <row r="370" spans="27:30" x14ac:dyDescent="0.2">
      <c r="AA370" s="188"/>
      <c r="AD370" s="188"/>
    </row>
    <row r="371" spans="27:30" x14ac:dyDescent="0.2">
      <c r="AA371" s="188"/>
      <c r="AD371" s="188"/>
    </row>
    <row r="372" spans="27:30" x14ac:dyDescent="0.2">
      <c r="AA372" s="188"/>
      <c r="AD372" s="188"/>
    </row>
    <row r="373" spans="27:30" x14ac:dyDescent="0.2">
      <c r="AA373" s="188"/>
      <c r="AD373" s="188"/>
    </row>
    <row r="374" spans="27:30" x14ac:dyDescent="0.2">
      <c r="AA374" s="188"/>
      <c r="AD374" s="188"/>
    </row>
    <row r="375" spans="27:30" x14ac:dyDescent="0.2">
      <c r="AA375" s="188"/>
      <c r="AD375" s="188"/>
    </row>
    <row r="376" spans="27:30" x14ac:dyDescent="0.2">
      <c r="AA376" s="188"/>
      <c r="AD376" s="188"/>
    </row>
    <row r="377" spans="27:30" x14ac:dyDescent="0.2">
      <c r="AA377" s="188"/>
      <c r="AD377" s="188"/>
    </row>
    <row r="378" spans="27:30" x14ac:dyDescent="0.2">
      <c r="AA378" s="188"/>
      <c r="AD378" s="188"/>
    </row>
    <row r="379" spans="27:30" x14ac:dyDescent="0.2">
      <c r="AA379" s="188"/>
      <c r="AD379" s="188"/>
    </row>
    <row r="380" spans="27:30" x14ac:dyDescent="0.2">
      <c r="AA380" s="188"/>
      <c r="AD380" s="188"/>
    </row>
    <row r="381" spans="27:30" x14ac:dyDescent="0.2">
      <c r="AA381" s="188"/>
      <c r="AD381" s="188"/>
    </row>
    <row r="382" spans="27:30" x14ac:dyDescent="0.2">
      <c r="AA382" s="188"/>
      <c r="AD382" s="188"/>
    </row>
    <row r="383" spans="27:30" x14ac:dyDescent="0.2">
      <c r="AA383" s="188"/>
      <c r="AD383" s="188"/>
    </row>
    <row r="384" spans="27:30" x14ac:dyDescent="0.2">
      <c r="AA384" s="188"/>
      <c r="AD384" s="188"/>
    </row>
    <row r="385" spans="27:30" x14ac:dyDescent="0.2">
      <c r="AA385" s="188"/>
      <c r="AD385" s="188"/>
    </row>
    <row r="386" spans="27:30" x14ac:dyDescent="0.2">
      <c r="AA386" s="188"/>
      <c r="AD386" s="188"/>
    </row>
    <row r="387" spans="27:30" x14ac:dyDescent="0.2">
      <c r="AA387" s="188"/>
      <c r="AD387" s="188"/>
    </row>
  </sheetData>
  <mergeCells count="8">
    <mergeCell ref="AJ9:AJ10"/>
    <mergeCell ref="AK9:AK10"/>
    <mergeCell ref="G9:G10"/>
    <mergeCell ref="AB9:AB10"/>
    <mergeCell ref="AC9:AC10"/>
    <mergeCell ref="AE9:AE10"/>
    <mergeCell ref="AF9:AF10"/>
    <mergeCell ref="AH9:AH10"/>
  </mergeCells>
  <conditionalFormatting sqref="AC1:AC20 AC152:AC1048576">
    <cfRule type="expression" dxfId="539" priority="10" stopIfTrue="1">
      <formula>($D1&gt;0)</formula>
    </cfRule>
    <cfRule type="expression" dxfId="538" priority="11" stopIfTrue="1">
      <formula>AND($D1&lt;0,$D1&gt;=$AC$2)</formula>
    </cfRule>
    <cfRule type="expression" dxfId="537" priority="12" stopIfTrue="1">
      <formula>($D1&lt;$AC$2)</formula>
    </cfRule>
  </conditionalFormatting>
  <conditionalFormatting sqref="AF1:AF20 AF152:AF1048576">
    <cfRule type="expression" dxfId="536" priority="7" stopIfTrue="1">
      <formula>($E1&gt;0)</formula>
    </cfRule>
    <cfRule type="expression" dxfId="535" priority="8" stopIfTrue="1">
      <formula>AND($E1&lt;0,$E1&gt;=$AF$2)</formula>
    </cfRule>
    <cfRule type="expression" dxfId="534" priority="9" stopIfTrue="1">
      <formula>($E1&lt;$AF$2)</formula>
    </cfRule>
  </conditionalFormatting>
  <printOptions horizontalCentered="1"/>
  <pageMargins left="0" right="0" top="0.39370078740157483" bottom="0" header="0.11811023622047245" footer="7.874015748031496E-2"/>
  <pageSetup paperSize="9" scale="66" orientation="landscape" r:id="rId1"/>
  <headerFooter alignWithMargins="0">
    <oddHeader>&amp;CTABLEAU DE BORD REGION&amp;R&amp;D - 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M435"/>
  <sheetViews>
    <sheetView showGridLines="0" tabSelected="1" topLeftCell="E1" zoomScale="70" zoomScaleNormal="70" zoomScaleSheetLayoutView="75" workbookViewId="0">
      <pane ySplit="10" topLeftCell="A11" activePane="bottomLeft" state="frozen"/>
      <selection activeCell="D299" sqref="D299"/>
      <selection pane="bottomLeft" activeCell="X16" sqref="X16"/>
    </sheetView>
  </sheetViews>
  <sheetFormatPr baseColWidth="10" defaultRowHeight="14.25" outlineLevelRow="2" outlineLevelCol="1" x14ac:dyDescent="0.2"/>
  <cols>
    <col min="1" max="1" width="24.85546875" style="8" hidden="1" customWidth="1" outlineLevel="1"/>
    <col min="2" max="2" width="30.42578125" style="8" hidden="1" customWidth="1" outlineLevel="1"/>
    <col min="3" max="4" width="12.5703125" style="8" hidden="1" customWidth="1" outlineLevel="1"/>
    <col min="5" max="5" width="2.7109375" style="8" customWidth="1" collapsed="1"/>
    <col min="6" max="6" width="35.28515625" style="7" customWidth="1"/>
    <col min="7" max="7" width="1.140625" style="8" customWidth="1"/>
    <col min="8" max="10" width="10.140625" style="8" customWidth="1"/>
    <col min="11" max="11" width="10.140625" style="9" customWidth="1" outlineLevel="1"/>
    <col min="12" max="12" width="10.5703125" style="9" customWidth="1"/>
    <col min="13" max="16" width="8.7109375" style="8" customWidth="1"/>
    <col min="17" max="17" width="8.42578125" style="8" customWidth="1"/>
    <col min="18" max="21" width="8.7109375" style="8" customWidth="1"/>
    <col min="22" max="22" width="9.85546875" style="8" customWidth="1"/>
    <col min="23" max="24" width="8.7109375" style="8" customWidth="1"/>
    <col min="25" max="25" width="10.140625" style="8" customWidth="1"/>
    <col min="26" max="26" width="1.140625" style="8" customWidth="1"/>
    <col min="27" max="27" width="10.140625" style="8" customWidth="1"/>
    <col min="28" max="28" width="8.7109375" style="11" customWidth="1"/>
    <col min="29" max="29" width="1.140625" style="8" customWidth="1"/>
    <col min="30" max="30" width="10.140625" style="8" customWidth="1" outlineLevel="1"/>
    <col min="31" max="31" width="8.7109375" style="11" customWidth="1" outlineLevel="1"/>
    <col min="32" max="38" width="11.42578125" style="8"/>
    <col min="40" max="16384" width="11.42578125" style="8"/>
  </cols>
  <sheetData>
    <row r="1" spans="1:31" hidden="1" outlineLevel="1" x14ac:dyDescent="0.2">
      <c r="A1" s="7" t="s">
        <v>3</v>
      </c>
      <c r="B1" s="7"/>
      <c r="I1" s="10" t="s">
        <v>15</v>
      </c>
      <c r="M1" s="10" t="s">
        <v>5</v>
      </c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321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15</v>
      </c>
      <c r="AB1" s="53"/>
      <c r="AE1" s="53"/>
    </row>
    <row r="2" spans="1:31" ht="12.75" hidden="1" outlineLevel="1" x14ac:dyDescent="0.2">
      <c r="A2" s="7" t="s">
        <v>4</v>
      </c>
      <c r="B2" s="7"/>
      <c r="H2" s="12" t="s">
        <v>27</v>
      </c>
      <c r="I2" s="12" t="s">
        <v>28</v>
      </c>
      <c r="J2" s="12" t="s">
        <v>29</v>
      </c>
      <c r="K2" s="13" t="s">
        <v>32</v>
      </c>
      <c r="L2" s="13" t="s">
        <v>33</v>
      </c>
      <c r="M2" s="14" t="b">
        <v>1</v>
      </c>
      <c r="N2" s="14" t="b">
        <v>1</v>
      </c>
      <c r="O2" s="14" t="b">
        <v>1</v>
      </c>
      <c r="P2" s="14" t="b">
        <v>1</v>
      </c>
      <c r="Q2" s="14" t="b">
        <v>1</v>
      </c>
      <c r="R2" s="14" t="b">
        <v>1</v>
      </c>
      <c r="S2" s="14" t="b">
        <v>1</v>
      </c>
      <c r="T2" s="14" t="b">
        <v>1</v>
      </c>
      <c r="U2" s="14" t="b">
        <v>1</v>
      </c>
      <c r="V2" s="14" t="b">
        <v>1</v>
      </c>
      <c r="W2" s="14" t="b">
        <v>1</v>
      </c>
      <c r="X2" s="14" t="b">
        <v>1</v>
      </c>
      <c r="Y2" s="12" t="s">
        <v>33</v>
      </c>
      <c r="AA2" s="128"/>
      <c r="AB2" s="129">
        <v>-0.15</v>
      </c>
      <c r="AD2" s="128"/>
      <c r="AE2" s="129">
        <v>-0.15</v>
      </c>
    </row>
    <row r="3" spans="1:31" hidden="1" outlineLevel="1" x14ac:dyDescent="0.2">
      <c r="A3" s="7" t="s">
        <v>420</v>
      </c>
      <c r="B3" s="7"/>
      <c r="H3" s="127" t="s">
        <v>459</v>
      </c>
      <c r="I3" s="127" t="s">
        <v>459</v>
      </c>
      <c r="J3" s="127" t="s">
        <v>459</v>
      </c>
      <c r="K3" s="130" t="s">
        <v>460</v>
      </c>
      <c r="L3" s="130" t="s">
        <v>461</v>
      </c>
      <c r="M3" s="127" t="s">
        <v>459</v>
      </c>
      <c r="N3" s="127" t="s">
        <v>459</v>
      </c>
      <c r="O3" s="127" t="s">
        <v>459</v>
      </c>
      <c r="P3" s="127" t="s">
        <v>459</v>
      </c>
      <c r="Q3" s="127" t="s">
        <v>459</v>
      </c>
      <c r="R3" s="127" t="s">
        <v>459</v>
      </c>
      <c r="S3" s="127" t="s">
        <v>459</v>
      </c>
      <c r="T3" s="127" t="s">
        <v>459</v>
      </c>
      <c r="U3" s="127" t="s">
        <v>459</v>
      </c>
      <c r="V3" s="127" t="s">
        <v>459</v>
      </c>
      <c r="W3" s="127" t="s">
        <v>459</v>
      </c>
      <c r="X3" s="127" t="s">
        <v>459</v>
      </c>
      <c r="Y3" s="127" t="s">
        <v>459</v>
      </c>
      <c r="AB3" s="53"/>
      <c r="AE3" s="53"/>
    </row>
    <row r="4" spans="1:31" hidden="1" outlineLevel="1" x14ac:dyDescent="0.2">
      <c r="A4" s="15" t="s">
        <v>462</v>
      </c>
      <c r="B4" s="7"/>
      <c r="H4" s="127" t="s">
        <v>463</v>
      </c>
      <c r="I4" s="127" t="s">
        <v>463</v>
      </c>
      <c r="J4" s="127" t="s">
        <v>463</v>
      </c>
      <c r="K4" s="130" t="s">
        <v>464</v>
      </c>
      <c r="L4" s="130" t="s">
        <v>465</v>
      </c>
      <c r="M4" s="127" t="s">
        <v>463</v>
      </c>
      <c r="N4" s="127" t="s">
        <v>463</v>
      </c>
      <c r="O4" s="127" t="s">
        <v>463</v>
      </c>
      <c r="P4" s="127" t="s">
        <v>463</v>
      </c>
      <c r="Q4" s="127" t="s">
        <v>463</v>
      </c>
      <c r="R4" s="127" t="s">
        <v>463</v>
      </c>
      <c r="S4" s="127" t="s">
        <v>463</v>
      </c>
      <c r="T4" s="127" t="s">
        <v>463</v>
      </c>
      <c r="U4" s="127" t="s">
        <v>463</v>
      </c>
      <c r="V4" s="127" t="s">
        <v>463</v>
      </c>
      <c r="W4" s="127" t="s">
        <v>463</v>
      </c>
      <c r="X4" s="127" t="s">
        <v>463</v>
      </c>
      <c r="Y4" s="127" t="s">
        <v>463</v>
      </c>
      <c r="AA4" s="128"/>
      <c r="AB4" s="131"/>
      <c r="AD4" s="128"/>
      <c r="AE4" s="131"/>
    </row>
    <row r="5" spans="1:31" hidden="1" outlineLevel="1" x14ac:dyDescent="0.2">
      <c r="B5" s="7"/>
      <c r="H5" s="127" t="s">
        <v>466</v>
      </c>
      <c r="I5" s="127" t="s">
        <v>467</v>
      </c>
      <c r="J5" s="127" t="s">
        <v>467</v>
      </c>
      <c r="K5" s="130" t="s">
        <v>468</v>
      </c>
      <c r="L5" s="130" t="s">
        <v>469</v>
      </c>
      <c r="M5" s="127" t="s">
        <v>468</v>
      </c>
      <c r="N5" s="127" t="s">
        <v>470</v>
      </c>
      <c r="O5" s="127" t="s">
        <v>471</v>
      </c>
      <c r="P5" s="127" t="s">
        <v>472</v>
      </c>
      <c r="Q5" s="127" t="s">
        <v>473</v>
      </c>
      <c r="R5" s="127" t="s">
        <v>474</v>
      </c>
      <c r="S5" s="127" t="s">
        <v>475</v>
      </c>
      <c r="T5" s="127" t="s">
        <v>476</v>
      </c>
      <c r="U5" s="127" t="s">
        <v>477</v>
      </c>
      <c r="V5" s="127" t="s">
        <v>478</v>
      </c>
      <c r="W5" s="127" t="s">
        <v>479</v>
      </c>
      <c r="X5" s="127" t="s">
        <v>480</v>
      </c>
      <c r="Y5" s="127" t="s">
        <v>480</v>
      </c>
      <c r="AA5" s="128"/>
      <c r="AB5" s="131"/>
      <c r="AD5" s="128"/>
      <c r="AE5" s="131"/>
    </row>
    <row r="6" spans="1:31" hidden="1" outlineLevel="1" x14ac:dyDescent="0.2">
      <c r="G6" s="7"/>
      <c r="I6" s="9" t="s">
        <v>481</v>
      </c>
      <c r="J6" s="9" t="s">
        <v>481</v>
      </c>
      <c r="K6" s="9" t="s">
        <v>481</v>
      </c>
      <c r="L6" s="9" t="s">
        <v>481</v>
      </c>
      <c r="AB6" s="53"/>
      <c r="AE6" s="53"/>
    </row>
    <row r="7" spans="1:31" s="16" customFormat="1" ht="15.75" collapsed="1" x14ac:dyDescent="0.2">
      <c r="F7" s="17" t="s">
        <v>392</v>
      </c>
      <c r="K7" s="18"/>
      <c r="L7" s="18"/>
      <c r="M7" s="19"/>
      <c r="AB7" s="20"/>
      <c r="AE7" s="20"/>
    </row>
    <row r="8" spans="1:31" s="21" customFormat="1" ht="7.5" customHeight="1" x14ac:dyDescent="0.2">
      <c r="F8" s="22"/>
      <c r="G8" s="16"/>
      <c r="J8" s="24"/>
      <c r="K8" s="23"/>
      <c r="L8" s="23"/>
      <c r="Z8" s="16"/>
      <c r="AA8" s="24"/>
      <c r="AB8" s="22"/>
      <c r="AD8" s="24"/>
      <c r="AE8" s="22"/>
    </row>
    <row r="9" spans="1:31" ht="12.75" customHeight="1" x14ac:dyDescent="0.2">
      <c r="F9" s="295" t="s">
        <v>421</v>
      </c>
      <c r="G9" s="16"/>
      <c r="H9" s="135" t="s">
        <v>1</v>
      </c>
      <c r="I9" s="26" t="s">
        <v>1</v>
      </c>
      <c r="J9" s="26" t="s">
        <v>1</v>
      </c>
      <c r="K9" s="136" t="s">
        <v>380</v>
      </c>
      <c r="L9" s="136" t="s">
        <v>449</v>
      </c>
      <c r="M9" s="27" t="s">
        <v>1</v>
      </c>
      <c r="N9" s="27" t="s">
        <v>1</v>
      </c>
      <c r="O9" s="27" t="s">
        <v>1</v>
      </c>
      <c r="P9" s="27" t="s">
        <v>1</v>
      </c>
      <c r="Q9" s="27" t="s">
        <v>1</v>
      </c>
      <c r="R9" s="27" t="s">
        <v>1</v>
      </c>
      <c r="S9" s="27" t="s">
        <v>1</v>
      </c>
      <c r="T9" s="27" t="s">
        <v>1</v>
      </c>
      <c r="U9" s="27" t="s">
        <v>1</v>
      </c>
      <c r="V9" s="27" t="s">
        <v>1</v>
      </c>
      <c r="W9" s="27" t="s">
        <v>1</v>
      </c>
      <c r="X9" s="27" t="s">
        <v>1</v>
      </c>
      <c r="Y9" s="139" t="s">
        <v>1</v>
      </c>
      <c r="Z9" s="16"/>
      <c r="AA9" s="296" t="s">
        <v>482</v>
      </c>
      <c r="AB9" s="298" t="s">
        <v>483</v>
      </c>
      <c r="AC9" s="25"/>
      <c r="AD9" s="296" t="s">
        <v>484</v>
      </c>
      <c r="AE9" s="298" t="s">
        <v>485</v>
      </c>
    </row>
    <row r="10" spans="1:31" ht="12.75" customHeight="1" x14ac:dyDescent="0.2">
      <c r="F10" s="295"/>
      <c r="G10" s="16"/>
      <c r="H10" s="28" t="s">
        <v>486</v>
      </c>
      <c r="I10" s="28" t="s">
        <v>487</v>
      </c>
      <c r="J10" s="28" t="s">
        <v>487</v>
      </c>
      <c r="K10" s="137" t="s">
        <v>450</v>
      </c>
      <c r="L10" s="137" t="s">
        <v>450</v>
      </c>
      <c r="M10" s="29" t="s">
        <v>5</v>
      </c>
      <c r="N10" s="29" t="s">
        <v>6</v>
      </c>
      <c r="O10" s="29" t="s">
        <v>7</v>
      </c>
      <c r="P10" s="29" t="s">
        <v>8</v>
      </c>
      <c r="Q10" s="29" t="s">
        <v>9</v>
      </c>
      <c r="R10" s="29" t="s">
        <v>10</v>
      </c>
      <c r="S10" s="29" t="s">
        <v>321</v>
      </c>
      <c r="T10" s="29" t="s">
        <v>11</v>
      </c>
      <c r="U10" s="29" t="s">
        <v>12</v>
      </c>
      <c r="V10" s="29" t="s">
        <v>13</v>
      </c>
      <c r="W10" s="29" t="s">
        <v>14</v>
      </c>
      <c r="X10" s="29" t="s">
        <v>15</v>
      </c>
      <c r="Y10" s="140" t="s">
        <v>488</v>
      </c>
      <c r="Z10" s="16"/>
      <c r="AA10" s="297"/>
      <c r="AB10" s="299"/>
      <c r="AC10" s="25"/>
      <c r="AD10" s="297"/>
      <c r="AE10" s="299"/>
    </row>
    <row r="11" spans="1:31" ht="18" hidden="1" customHeight="1" outlineLevel="1" x14ac:dyDescent="0.2">
      <c r="A11" s="30" t="s">
        <v>2</v>
      </c>
      <c r="B11" s="30" t="s">
        <v>230</v>
      </c>
      <c r="C11" s="4">
        <v>-0.12840172626021445</v>
      </c>
      <c r="D11" s="4">
        <v>1.7385533872247005E-3</v>
      </c>
      <c r="F11" s="94" t="s">
        <v>280</v>
      </c>
      <c r="G11" s="16"/>
      <c r="H11" s="59">
        <v>756.673</v>
      </c>
      <c r="I11" s="59">
        <v>950.17600000000004</v>
      </c>
      <c r="J11" s="59">
        <v>950.17600000000004</v>
      </c>
      <c r="K11" s="86">
        <v>1011.4349999999999</v>
      </c>
      <c r="L11" s="86">
        <v>880.04200000000003</v>
      </c>
      <c r="M11" s="59">
        <v>65.414000000000001</v>
      </c>
      <c r="N11" s="59">
        <v>89.833000000000013</v>
      </c>
      <c r="O11" s="59">
        <v>74.190999999999974</v>
      </c>
      <c r="P11" s="59">
        <v>69.696000000000026</v>
      </c>
      <c r="Q11" s="59">
        <v>77.08499999999998</v>
      </c>
      <c r="R11" s="59">
        <v>75.025000000000034</v>
      </c>
      <c r="S11" s="59">
        <v>84.909999999999968</v>
      </c>
      <c r="T11" s="59">
        <v>69.183999999999969</v>
      </c>
      <c r="U11" s="59">
        <v>67.177000000000021</v>
      </c>
      <c r="V11" s="59">
        <v>71.692999999999984</v>
      </c>
      <c r="W11" s="59">
        <v>67.018000000000029</v>
      </c>
      <c r="X11" s="59">
        <v>70.344000000000051</v>
      </c>
      <c r="Y11" s="59">
        <v>881.57</v>
      </c>
      <c r="Z11" s="16"/>
      <c r="AA11" s="59">
        <v>1011.4349999999999</v>
      </c>
      <c r="AB11" s="60">
        <v>-129.87</v>
      </c>
      <c r="AC11" s="31"/>
      <c r="AD11" s="59">
        <v>880.04200000000003</v>
      </c>
      <c r="AE11" s="60">
        <v>1.53</v>
      </c>
    </row>
    <row r="12" spans="1:31" ht="18" hidden="1" customHeight="1" outlineLevel="1" x14ac:dyDescent="0.2">
      <c r="A12" s="30" t="s">
        <v>2</v>
      </c>
      <c r="B12" s="30" t="s">
        <v>233</v>
      </c>
      <c r="C12" s="4">
        <v>1.3525877666268534E-2</v>
      </c>
      <c r="D12" s="4">
        <v>1.8326982181668467E-2</v>
      </c>
      <c r="F12" s="94" t="s">
        <v>281</v>
      </c>
      <c r="G12" s="16"/>
      <c r="H12" s="59">
        <v>9262.6779999999999</v>
      </c>
      <c r="I12" s="59">
        <v>9118.8130000000001</v>
      </c>
      <c r="J12" s="59">
        <v>9118.8130000000001</v>
      </c>
      <c r="K12" s="86">
        <v>8395.0190000000002</v>
      </c>
      <c r="L12" s="86">
        <v>8355.44</v>
      </c>
      <c r="M12" s="59">
        <v>681.01599999999996</v>
      </c>
      <c r="N12" s="59">
        <v>598.54300000000001</v>
      </c>
      <c r="O12" s="59">
        <v>660.59300000000007</v>
      </c>
      <c r="P12" s="59">
        <v>786.52099999999973</v>
      </c>
      <c r="Q12" s="59">
        <v>735.31800000000021</v>
      </c>
      <c r="R12" s="59">
        <v>721.75200000000041</v>
      </c>
      <c r="S12" s="59">
        <v>683.83899999999994</v>
      </c>
      <c r="T12" s="59">
        <v>724.91899999999987</v>
      </c>
      <c r="U12" s="59">
        <v>696.84599999999955</v>
      </c>
      <c r="V12" s="59">
        <v>716.40200000000004</v>
      </c>
      <c r="W12" s="59">
        <v>694.68199999999979</v>
      </c>
      <c r="X12" s="59">
        <v>808.13699999999972</v>
      </c>
      <c r="Y12" s="59">
        <v>8508.5679999999993</v>
      </c>
      <c r="Z12" s="16"/>
      <c r="AA12" s="59">
        <v>8395.0190000000002</v>
      </c>
      <c r="AB12" s="60">
        <v>113.55</v>
      </c>
      <c r="AC12" s="31"/>
      <c r="AD12" s="59">
        <v>8355.44</v>
      </c>
      <c r="AE12" s="60">
        <v>153.13</v>
      </c>
    </row>
    <row r="13" spans="1:31" ht="18" hidden="1" customHeight="1" outlineLevel="1" x14ac:dyDescent="0.2">
      <c r="A13" s="30" t="s">
        <v>2</v>
      </c>
      <c r="B13" s="30" t="s">
        <v>229</v>
      </c>
      <c r="C13" s="4">
        <v>6.5378541992022393E-2</v>
      </c>
      <c r="D13" s="4">
        <v>9.993664871713652E-3</v>
      </c>
      <c r="F13" s="94" t="s">
        <v>282</v>
      </c>
      <c r="G13" s="16"/>
      <c r="H13" s="59">
        <v>3279.11</v>
      </c>
      <c r="I13" s="59">
        <v>3205.627</v>
      </c>
      <c r="J13" s="59">
        <v>3205.627</v>
      </c>
      <c r="K13" s="86">
        <v>2992.8780000000002</v>
      </c>
      <c r="L13" s="86">
        <v>3157</v>
      </c>
      <c r="M13" s="59">
        <v>248.626</v>
      </c>
      <c r="N13" s="59">
        <v>261.95899999999995</v>
      </c>
      <c r="O13" s="59">
        <v>205.43100000000004</v>
      </c>
      <c r="P13" s="59">
        <v>324.99000000000012</v>
      </c>
      <c r="Q13" s="59">
        <v>274.62899999999991</v>
      </c>
      <c r="R13" s="59">
        <v>260.67699999999991</v>
      </c>
      <c r="S13" s="59">
        <v>262.39900000000011</v>
      </c>
      <c r="T13" s="59">
        <v>257.27499999999986</v>
      </c>
      <c r="U13" s="59">
        <v>272.43100000000004</v>
      </c>
      <c r="V13" s="59">
        <v>263.45400000000018</v>
      </c>
      <c r="W13" s="59">
        <v>282.93100000000004</v>
      </c>
      <c r="X13" s="59">
        <v>273.7489999999998</v>
      </c>
      <c r="Y13" s="59">
        <v>3188.5509999999999</v>
      </c>
      <c r="Z13" s="16"/>
      <c r="AA13" s="59">
        <v>2992.8780000000002</v>
      </c>
      <c r="AB13" s="60">
        <v>195.67</v>
      </c>
      <c r="AC13" s="31"/>
      <c r="AD13" s="59">
        <v>3157</v>
      </c>
      <c r="AE13" s="60">
        <v>31.55</v>
      </c>
    </row>
    <row r="14" spans="1:31" ht="18" hidden="1" customHeight="1" outlineLevel="1" x14ac:dyDescent="0.2">
      <c r="A14" s="30" t="s">
        <v>2</v>
      </c>
      <c r="B14" s="30" t="s">
        <v>232</v>
      </c>
      <c r="C14" s="4">
        <v>0.12473827949522502</v>
      </c>
      <c r="D14" s="4">
        <v>-2.6836765524465779E-3</v>
      </c>
      <c r="F14" s="94" t="s">
        <v>283</v>
      </c>
      <c r="G14" s="16"/>
      <c r="H14" s="59">
        <v>7419.1859999999997</v>
      </c>
      <c r="I14" s="59">
        <v>8727.7999999999993</v>
      </c>
      <c r="J14" s="59">
        <v>8727.7999999999993</v>
      </c>
      <c r="K14" s="86">
        <v>8821.9110000000001</v>
      </c>
      <c r="L14" s="86">
        <v>9949.0380000000005</v>
      </c>
      <c r="M14" s="59">
        <v>747.24900000000002</v>
      </c>
      <c r="N14" s="59">
        <v>795.50099999999998</v>
      </c>
      <c r="O14" s="59">
        <v>818.0010000000002</v>
      </c>
      <c r="P14" s="59">
        <v>767.25099999999975</v>
      </c>
      <c r="Q14" s="59">
        <v>953.88300000000027</v>
      </c>
      <c r="R14" s="59">
        <v>837.03699999999935</v>
      </c>
      <c r="S14" s="59">
        <v>823.73100000000068</v>
      </c>
      <c r="T14" s="59">
        <v>837.82999999999993</v>
      </c>
      <c r="U14" s="59">
        <v>842.23499999999967</v>
      </c>
      <c r="V14" s="59">
        <v>879.62400000000071</v>
      </c>
      <c r="W14" s="59">
        <v>856.11799999999857</v>
      </c>
      <c r="X14" s="59">
        <v>763.88200000000143</v>
      </c>
      <c r="Y14" s="59">
        <v>9922.3420000000006</v>
      </c>
      <c r="Z14" s="16"/>
      <c r="AA14" s="59">
        <v>8821.9110000000001</v>
      </c>
      <c r="AB14" s="60">
        <v>1100.43</v>
      </c>
      <c r="AC14" s="31"/>
      <c r="AD14" s="59">
        <v>9949.0380000000005</v>
      </c>
      <c r="AE14" s="60">
        <v>-26.7</v>
      </c>
    </row>
    <row r="15" spans="1:31" ht="18" hidden="1" customHeight="1" outlineLevel="1" x14ac:dyDescent="0.2">
      <c r="A15" s="30" t="s">
        <v>2</v>
      </c>
      <c r="B15" s="30" t="s">
        <v>231</v>
      </c>
      <c r="C15" s="4">
        <v>-0.9771220868077829</v>
      </c>
      <c r="D15" s="4">
        <v>2</v>
      </c>
      <c r="F15" s="94" t="s">
        <v>284</v>
      </c>
      <c r="G15" s="16"/>
      <c r="H15" s="59">
        <v>3.9550000000000001</v>
      </c>
      <c r="I15" s="59">
        <v>6.7000000000000004E-2</v>
      </c>
      <c r="J15" s="59">
        <v>6.7000000000000004E-2</v>
      </c>
      <c r="K15" s="86">
        <v>4.6769999999999996</v>
      </c>
      <c r="L15" s="86">
        <v>3.5000000000000003E-2</v>
      </c>
      <c r="M15" s="59">
        <v>-3.3000000000000002E-2</v>
      </c>
      <c r="N15" s="59">
        <v>0.05</v>
      </c>
      <c r="O15" s="59">
        <v>8.9999999999999976E-3</v>
      </c>
      <c r="P15" s="59">
        <v>3.0000000000000027E-3</v>
      </c>
      <c r="Q15" s="59">
        <v>2.9999999999999992E-3</v>
      </c>
      <c r="R15" s="59">
        <v>1.9999999999999997E-2</v>
      </c>
      <c r="S15" s="59">
        <v>3.0000000000000027E-3</v>
      </c>
      <c r="T15" s="59">
        <v>3.0000000000000027E-3</v>
      </c>
      <c r="U15" s="59">
        <v>1.9999999999999997E-2</v>
      </c>
      <c r="V15" s="59">
        <v>3.0000000000000027E-3</v>
      </c>
      <c r="W15" s="59">
        <v>3.0000000000000027E-3</v>
      </c>
      <c r="X15" s="59">
        <v>2.0999999999999991E-2</v>
      </c>
      <c r="Y15" s="59">
        <v>0.105</v>
      </c>
      <c r="Z15" s="16"/>
      <c r="AA15" s="59">
        <v>4.6769999999999996</v>
      </c>
      <c r="AB15" s="60">
        <v>-4.57</v>
      </c>
      <c r="AC15" s="31"/>
      <c r="AD15" s="59">
        <v>3.5000000000000003E-2</v>
      </c>
      <c r="AE15" s="60">
        <v>7.0000000000000007E-2</v>
      </c>
    </row>
    <row r="16" spans="1:31" ht="18" customHeight="1" collapsed="1" x14ac:dyDescent="0.2">
      <c r="A16" s="30" t="s">
        <v>2</v>
      </c>
      <c r="B16" s="30" t="s">
        <v>203</v>
      </c>
      <c r="C16" s="4">
        <v>6.0042472099094718E-2</v>
      </c>
      <c r="D16" s="4">
        <v>7.1427436451938992E-3</v>
      </c>
      <c r="E16" s="9"/>
      <c r="F16" s="51" t="s">
        <v>285</v>
      </c>
      <c r="G16" s="16"/>
      <c r="H16" s="61">
        <v>20721.601999999999</v>
      </c>
      <c r="I16" s="61">
        <v>22002.483</v>
      </c>
      <c r="J16" s="61">
        <v>22002.483</v>
      </c>
      <c r="K16" s="86">
        <v>21226.641</v>
      </c>
      <c r="L16" s="86">
        <v>22341.555</v>
      </c>
      <c r="M16" s="61">
        <v>1742.2719999999999</v>
      </c>
      <c r="N16" s="61">
        <v>1745.886</v>
      </c>
      <c r="O16" s="61">
        <v>1758.2249999999999</v>
      </c>
      <c r="P16" s="61">
        <v>1948.4610000000002</v>
      </c>
      <c r="Q16" s="61">
        <v>2040.9180000000006</v>
      </c>
      <c r="R16" s="61">
        <v>1894.5109999999986</v>
      </c>
      <c r="S16" s="61">
        <v>1854.8820000000014</v>
      </c>
      <c r="T16" s="61">
        <v>1889.2109999999993</v>
      </c>
      <c r="U16" s="61">
        <v>1878.7090000000007</v>
      </c>
      <c r="V16" s="61">
        <v>1931.1759999999995</v>
      </c>
      <c r="W16" s="61">
        <v>1900.7520000000004</v>
      </c>
      <c r="X16" s="61">
        <v>1916.132999999998</v>
      </c>
      <c r="Y16" s="61">
        <v>22501.135999999999</v>
      </c>
      <c r="Z16" s="16"/>
      <c r="AA16" s="61">
        <v>21226.641</v>
      </c>
      <c r="AB16" s="60">
        <v>1274.5</v>
      </c>
      <c r="AD16" s="61">
        <v>22341.555000000004</v>
      </c>
      <c r="AE16" s="60">
        <v>159.58000000000001</v>
      </c>
    </row>
    <row r="17" spans="1:33" ht="18" customHeight="1" x14ac:dyDescent="0.2">
      <c r="A17" s="30" t="s">
        <v>2</v>
      </c>
      <c r="B17" s="30" t="s">
        <v>31</v>
      </c>
      <c r="C17" s="4">
        <v>0</v>
      </c>
      <c r="D17" s="4">
        <v>0</v>
      </c>
      <c r="F17" s="51" t="s">
        <v>286</v>
      </c>
      <c r="G17" s="16"/>
      <c r="H17" s="61">
        <v>-7.3999999999999996E-2</v>
      </c>
      <c r="I17" s="61">
        <v>0.20699999999999999</v>
      </c>
      <c r="J17" s="61">
        <v>0.20699999999999999</v>
      </c>
      <c r="K17" s="86">
        <v>0</v>
      </c>
      <c r="L17" s="86">
        <v>0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61">
        <v>0</v>
      </c>
      <c r="W17" s="61">
        <v>0</v>
      </c>
      <c r="X17" s="61">
        <v>0</v>
      </c>
      <c r="Y17" s="61">
        <v>0</v>
      </c>
      <c r="Z17" s="16"/>
      <c r="AA17" s="61">
        <v>0</v>
      </c>
      <c r="AB17" s="60">
        <v>0</v>
      </c>
      <c r="AD17" s="61">
        <v>0</v>
      </c>
      <c r="AE17" s="60">
        <v>0</v>
      </c>
    </row>
    <row r="18" spans="1:33" s="7" customFormat="1" ht="18" customHeight="1" x14ac:dyDescent="0.2">
      <c r="A18" s="32"/>
      <c r="B18" s="32"/>
      <c r="C18" s="4">
        <v>6.0042472099094718E-2</v>
      </c>
      <c r="D18" s="4">
        <v>7.1427436451938992E-3</v>
      </c>
      <c r="E18" s="8"/>
      <c r="F18" s="45" t="s">
        <v>217</v>
      </c>
      <c r="G18" s="16"/>
      <c r="H18" s="62">
        <v>20721.527999999998</v>
      </c>
      <c r="I18" s="62">
        <v>22002.69</v>
      </c>
      <c r="J18" s="62">
        <v>22002.69</v>
      </c>
      <c r="K18" s="108">
        <v>21226.641</v>
      </c>
      <c r="L18" s="108">
        <v>22341.555</v>
      </c>
      <c r="M18" s="62">
        <v>1742.2719999999999</v>
      </c>
      <c r="N18" s="62">
        <v>1745.886</v>
      </c>
      <c r="O18" s="62">
        <v>1758.2249999999999</v>
      </c>
      <c r="P18" s="62">
        <v>1948.4610000000002</v>
      </c>
      <c r="Q18" s="62">
        <v>2040.9180000000006</v>
      </c>
      <c r="R18" s="62">
        <v>1894.5109999999986</v>
      </c>
      <c r="S18" s="62">
        <v>1854.8820000000014</v>
      </c>
      <c r="T18" s="62">
        <v>1889.2109999999993</v>
      </c>
      <c r="U18" s="62">
        <v>1878.7090000000007</v>
      </c>
      <c r="V18" s="62">
        <v>1931.1759999999995</v>
      </c>
      <c r="W18" s="62">
        <v>1900.7520000000004</v>
      </c>
      <c r="X18" s="62">
        <v>1916.132999999998</v>
      </c>
      <c r="Y18" s="62">
        <v>22501.135999999999</v>
      </c>
      <c r="Z18" s="16"/>
      <c r="AA18" s="62">
        <v>21226.641</v>
      </c>
      <c r="AB18" s="60">
        <v>1274.5</v>
      </c>
      <c r="AD18" s="62">
        <v>22341.555000000004</v>
      </c>
      <c r="AE18" s="60">
        <v>159.58000000000001</v>
      </c>
    </row>
    <row r="19" spans="1:33" ht="8.25" customHeight="1" x14ac:dyDescent="0.2">
      <c r="A19" s="116"/>
      <c r="F19" s="8"/>
      <c r="G19" s="16"/>
      <c r="K19" s="8"/>
      <c r="L19" s="8"/>
      <c r="Z19" s="16"/>
      <c r="AB19" s="8"/>
      <c r="AE19" s="8"/>
    </row>
    <row r="20" spans="1:33" s="7" customFormat="1" ht="18" customHeight="1" x14ac:dyDescent="0.2">
      <c r="A20" s="117" t="s">
        <v>310</v>
      </c>
      <c r="B20" s="117" t="s">
        <v>203</v>
      </c>
      <c r="C20" s="5">
        <v>-0.14006198347107437</v>
      </c>
      <c r="D20" s="5">
        <v>9.9339672477548865E-2</v>
      </c>
      <c r="F20" s="118" t="s">
        <v>326</v>
      </c>
      <c r="G20" s="16"/>
      <c r="H20" s="120">
        <v>2556.1320000000001</v>
      </c>
      <c r="I20" s="120">
        <v>2186.6370000000002</v>
      </c>
      <c r="J20" s="120">
        <v>2186.6370000000002</v>
      </c>
      <c r="K20" s="121">
        <v>2420</v>
      </c>
      <c r="L20" s="121">
        <v>1893</v>
      </c>
      <c r="M20" s="120">
        <v>160.42099999999999</v>
      </c>
      <c r="N20" s="120">
        <v>179.35399999999998</v>
      </c>
      <c r="O20" s="120">
        <v>175.26</v>
      </c>
      <c r="P20" s="120">
        <v>202.07100000000003</v>
      </c>
      <c r="Q20" s="120">
        <v>117.93100000000004</v>
      </c>
      <c r="R20" s="120">
        <v>200.00199999999995</v>
      </c>
      <c r="S20" s="120">
        <v>114.57999999999993</v>
      </c>
      <c r="T20" s="120">
        <v>138.31799999999998</v>
      </c>
      <c r="U20" s="120">
        <v>161.33800000000019</v>
      </c>
      <c r="V20" s="120">
        <v>140.846</v>
      </c>
      <c r="W20" s="120">
        <v>229.92799999999988</v>
      </c>
      <c r="X20" s="120">
        <v>261.00399999999991</v>
      </c>
      <c r="Y20" s="120">
        <v>2081.0529999999999</v>
      </c>
      <c r="Z20" s="16"/>
      <c r="AA20" s="120">
        <v>2420</v>
      </c>
      <c r="AB20" s="60">
        <v>-338.95</v>
      </c>
      <c r="AC20" s="253"/>
      <c r="AD20" s="120">
        <v>1893</v>
      </c>
      <c r="AE20" s="60">
        <v>188.05</v>
      </c>
    </row>
    <row r="21" spans="1:33" ht="8.25" customHeight="1" x14ac:dyDescent="0.2">
      <c r="A21" s="116"/>
      <c r="F21" s="8"/>
      <c r="G21" s="16"/>
      <c r="K21" s="8"/>
      <c r="L21" s="8"/>
      <c r="Z21" s="16"/>
      <c r="AB21" s="8"/>
      <c r="AE21" s="8"/>
    </row>
    <row r="22" spans="1:33" ht="18" customHeight="1" x14ac:dyDescent="0.2">
      <c r="A22" s="30" t="s">
        <v>310</v>
      </c>
      <c r="B22" s="30" t="s">
        <v>115</v>
      </c>
      <c r="C22" s="4">
        <v>0</v>
      </c>
      <c r="D22" s="4">
        <v>0</v>
      </c>
      <c r="F22" s="51" t="s">
        <v>327</v>
      </c>
      <c r="G22" s="16"/>
      <c r="H22" s="61">
        <v>0</v>
      </c>
      <c r="I22" s="61">
        <v>0</v>
      </c>
      <c r="J22" s="61">
        <v>0</v>
      </c>
      <c r="K22" s="86">
        <v>0</v>
      </c>
      <c r="L22" s="86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16"/>
      <c r="AA22" s="61">
        <v>0</v>
      </c>
      <c r="AB22" s="60">
        <v>0</v>
      </c>
      <c r="AC22" s="34"/>
      <c r="AD22" s="61">
        <v>0</v>
      </c>
      <c r="AE22" s="60">
        <v>0</v>
      </c>
    </row>
    <row r="23" spans="1:33" ht="18" customHeight="1" x14ac:dyDescent="0.2">
      <c r="A23" s="30" t="s">
        <v>310</v>
      </c>
      <c r="B23" s="30" t="s">
        <v>116</v>
      </c>
      <c r="C23" s="4">
        <v>0</v>
      </c>
      <c r="D23" s="4">
        <v>0</v>
      </c>
      <c r="F23" s="51" t="s">
        <v>328</v>
      </c>
      <c r="G23" s="16"/>
      <c r="H23" s="61">
        <v>1.0549999999999999</v>
      </c>
      <c r="I23" s="61">
        <v>0</v>
      </c>
      <c r="J23" s="61">
        <v>0</v>
      </c>
      <c r="K23" s="86">
        <v>0</v>
      </c>
      <c r="L23" s="86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16"/>
      <c r="AA23" s="61">
        <v>0</v>
      </c>
      <c r="AB23" s="60">
        <v>0</v>
      </c>
      <c r="AC23" s="34"/>
      <c r="AD23" s="61">
        <v>0</v>
      </c>
      <c r="AE23" s="60">
        <v>0</v>
      </c>
    </row>
    <row r="24" spans="1:33" ht="18" hidden="1" customHeight="1" outlineLevel="1" x14ac:dyDescent="0.2">
      <c r="A24" s="46" t="s">
        <v>298</v>
      </c>
      <c r="B24" s="46" t="s">
        <v>117</v>
      </c>
      <c r="C24" s="47">
        <v>0.98445595854922274</v>
      </c>
      <c r="D24" s="47">
        <v>0.98445595854922274</v>
      </c>
      <c r="E24" s="31"/>
      <c r="F24" s="94" t="s">
        <v>329</v>
      </c>
      <c r="G24" s="16"/>
      <c r="H24" s="59">
        <v>8.4480000000000004</v>
      </c>
      <c r="I24" s="59">
        <v>1.2490000000000001</v>
      </c>
      <c r="J24" s="59">
        <v>1.2490000000000001</v>
      </c>
      <c r="K24" s="59">
        <v>0</v>
      </c>
      <c r="L24" s="59">
        <v>0</v>
      </c>
      <c r="M24" s="59">
        <v>0.39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-0.27200000000000002</v>
      </c>
      <c r="X24" s="59">
        <v>7.5000000000000011E-2</v>
      </c>
      <c r="Y24" s="59">
        <v>0.193</v>
      </c>
      <c r="Z24" s="16"/>
      <c r="AA24" s="59">
        <v>0</v>
      </c>
      <c r="AB24" s="63">
        <v>0.19</v>
      </c>
      <c r="AC24" s="31"/>
      <c r="AD24" s="59">
        <v>0</v>
      </c>
      <c r="AE24" s="63">
        <v>0.19</v>
      </c>
    </row>
    <row r="25" spans="1:33" ht="18" customHeight="1" collapsed="1" x14ac:dyDescent="0.2">
      <c r="A25" s="32"/>
      <c r="B25" s="32"/>
      <c r="C25" s="4">
        <v>0</v>
      </c>
      <c r="D25" s="4">
        <v>0</v>
      </c>
      <c r="F25" s="51" t="s">
        <v>372</v>
      </c>
      <c r="G25" s="16"/>
      <c r="H25" s="61">
        <v>0</v>
      </c>
      <c r="I25" s="61">
        <v>0</v>
      </c>
      <c r="J25" s="61">
        <v>0</v>
      </c>
      <c r="K25" s="86">
        <v>0</v>
      </c>
      <c r="L25" s="86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16"/>
      <c r="AA25" s="61">
        <v>0</v>
      </c>
      <c r="AB25" s="60">
        <v>0</v>
      </c>
      <c r="AC25" s="34"/>
      <c r="AD25" s="61">
        <v>0</v>
      </c>
      <c r="AE25" s="60">
        <v>0</v>
      </c>
      <c r="AG25" s="48"/>
    </row>
    <row r="26" spans="1:33" ht="18" customHeight="1" x14ac:dyDescent="0.2">
      <c r="A26" s="30" t="s">
        <v>310</v>
      </c>
      <c r="B26" s="30" t="s">
        <v>330</v>
      </c>
      <c r="C26" s="4">
        <v>0</v>
      </c>
      <c r="D26" s="4">
        <v>0</v>
      </c>
      <c r="F26" s="51" t="s">
        <v>331</v>
      </c>
      <c r="G26" s="16"/>
      <c r="H26" s="61">
        <v>0</v>
      </c>
      <c r="I26" s="61">
        <v>0</v>
      </c>
      <c r="J26" s="61">
        <v>0</v>
      </c>
      <c r="K26" s="86">
        <v>0</v>
      </c>
      <c r="L26" s="86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16"/>
      <c r="AA26" s="61">
        <v>0</v>
      </c>
      <c r="AB26" s="60">
        <v>0</v>
      </c>
      <c r="AC26" s="34"/>
      <c r="AD26" s="61">
        <v>0</v>
      </c>
      <c r="AE26" s="60">
        <v>0</v>
      </c>
    </row>
    <row r="27" spans="1:33" ht="18" customHeight="1" x14ac:dyDescent="0.2">
      <c r="A27" s="30" t="s">
        <v>310</v>
      </c>
      <c r="B27" s="30" t="s">
        <v>332</v>
      </c>
      <c r="C27" s="4">
        <v>0</v>
      </c>
      <c r="D27" s="4">
        <v>0</v>
      </c>
      <c r="F27" s="51" t="s">
        <v>333</v>
      </c>
      <c r="G27" s="16"/>
      <c r="H27" s="61">
        <v>0</v>
      </c>
      <c r="I27" s="61">
        <v>0</v>
      </c>
      <c r="J27" s="61">
        <v>0</v>
      </c>
      <c r="K27" s="86">
        <v>0</v>
      </c>
      <c r="L27" s="86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16"/>
      <c r="AA27" s="61">
        <v>0</v>
      </c>
      <c r="AB27" s="60">
        <v>0</v>
      </c>
      <c r="AC27" s="34"/>
      <c r="AD27" s="61">
        <v>0</v>
      </c>
      <c r="AE27" s="60">
        <v>0</v>
      </c>
    </row>
    <row r="28" spans="1:33" ht="18" customHeight="1" x14ac:dyDescent="0.2">
      <c r="A28" s="30" t="s">
        <v>310</v>
      </c>
      <c r="B28" s="30" t="s">
        <v>335</v>
      </c>
      <c r="C28" s="4">
        <v>1.0000743273375947</v>
      </c>
      <c r="D28" s="4">
        <v>-0.59227272727272728</v>
      </c>
      <c r="F28" s="51" t="s">
        <v>336</v>
      </c>
      <c r="G28" s="16"/>
      <c r="H28" s="61">
        <v>309.12700000000001</v>
      </c>
      <c r="I28" s="61">
        <v>55.875999999999998</v>
      </c>
      <c r="J28" s="61">
        <v>55.875999999999998</v>
      </c>
      <c r="K28" s="86">
        <v>0</v>
      </c>
      <c r="L28" s="86">
        <v>66</v>
      </c>
      <c r="M28" s="61">
        <v>0</v>
      </c>
      <c r="N28" s="61">
        <v>6.1639999999999997</v>
      </c>
      <c r="O28" s="61">
        <v>5.4160000000000004</v>
      </c>
      <c r="P28" s="61">
        <v>0.55000000000000071</v>
      </c>
      <c r="Q28" s="61">
        <v>1.7589999999999986</v>
      </c>
      <c r="R28" s="61">
        <v>2.5850000000000009</v>
      </c>
      <c r="S28" s="61">
        <v>0.30499999999999972</v>
      </c>
      <c r="T28" s="61">
        <v>1.3919999999999995</v>
      </c>
      <c r="U28" s="61">
        <v>3.218</v>
      </c>
      <c r="V28" s="61">
        <v>1.8610000000000007</v>
      </c>
      <c r="W28" s="61">
        <v>1.5650000000000013</v>
      </c>
      <c r="X28" s="61">
        <v>2.093</v>
      </c>
      <c r="Y28" s="61">
        <v>26.908000000000001</v>
      </c>
      <c r="Z28" s="16"/>
      <c r="AA28" s="61">
        <v>0</v>
      </c>
      <c r="AB28" s="60">
        <v>26.91</v>
      </c>
      <c r="AC28" s="34"/>
      <c r="AD28" s="61">
        <v>66</v>
      </c>
      <c r="AE28" s="60">
        <v>-39.090000000000003</v>
      </c>
    </row>
    <row r="29" spans="1:33" ht="18" customHeight="1" x14ac:dyDescent="0.2">
      <c r="A29" s="30" t="s">
        <v>310</v>
      </c>
      <c r="B29" s="30" t="s">
        <v>337</v>
      </c>
      <c r="C29" s="4">
        <v>0.99983425872213472</v>
      </c>
      <c r="D29" s="4">
        <v>0.99983425872213472</v>
      </c>
      <c r="F29" s="51" t="s">
        <v>338</v>
      </c>
      <c r="G29" s="16"/>
      <c r="H29" s="61">
        <v>0</v>
      </c>
      <c r="I29" s="61">
        <v>0</v>
      </c>
      <c r="J29" s="61">
        <v>0</v>
      </c>
      <c r="K29" s="86">
        <v>0</v>
      </c>
      <c r="L29" s="86">
        <v>0</v>
      </c>
      <c r="M29" s="61">
        <v>0</v>
      </c>
      <c r="N29" s="61">
        <v>3.4980000000000002</v>
      </c>
      <c r="O29" s="61">
        <v>1.4630000000000001</v>
      </c>
      <c r="P29" s="61">
        <v>1.79</v>
      </c>
      <c r="Q29" s="61">
        <v>1.4319999999999995</v>
      </c>
      <c r="R29" s="61">
        <v>1.4700000000000006</v>
      </c>
      <c r="S29" s="61">
        <v>2.6839999999999993</v>
      </c>
      <c r="T29" s="61">
        <v>2.1440000000000001</v>
      </c>
      <c r="U29" s="61">
        <v>2.4350000000000005</v>
      </c>
      <c r="V29" s="61">
        <v>0.45799999999999841</v>
      </c>
      <c r="W29" s="61">
        <v>2.8659999999999997</v>
      </c>
      <c r="X29" s="61">
        <v>3.8940000000000019</v>
      </c>
      <c r="Y29" s="61">
        <v>24.134</v>
      </c>
      <c r="Z29" s="16"/>
      <c r="AA29" s="61">
        <v>0</v>
      </c>
      <c r="AB29" s="60">
        <v>24.13</v>
      </c>
      <c r="AC29" s="34"/>
      <c r="AD29" s="61">
        <v>0</v>
      </c>
      <c r="AE29" s="60">
        <v>24.13</v>
      </c>
    </row>
    <row r="30" spans="1:33" ht="18" customHeight="1" x14ac:dyDescent="0.2">
      <c r="A30" s="30" t="s">
        <v>310</v>
      </c>
      <c r="B30" s="30" t="s">
        <v>458</v>
      </c>
      <c r="C30" s="4">
        <v>0</v>
      </c>
      <c r="D30" s="4">
        <v>0</v>
      </c>
      <c r="F30" s="213" t="s">
        <v>443</v>
      </c>
      <c r="G30" s="16"/>
      <c r="H30" s="61">
        <v>0</v>
      </c>
      <c r="I30" s="61">
        <v>0</v>
      </c>
      <c r="J30" s="61">
        <v>0</v>
      </c>
      <c r="K30" s="86">
        <v>0</v>
      </c>
      <c r="L30" s="86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16"/>
      <c r="AA30" s="61">
        <v>0</v>
      </c>
      <c r="AB30" s="60">
        <v>0</v>
      </c>
      <c r="AC30" s="34"/>
      <c r="AD30" s="61">
        <v>0</v>
      </c>
      <c r="AE30" s="60">
        <v>0</v>
      </c>
    </row>
    <row r="31" spans="1:33" ht="18" customHeight="1" x14ac:dyDescent="0.2">
      <c r="A31" s="30" t="s">
        <v>310</v>
      </c>
      <c r="B31" s="30" t="s">
        <v>341</v>
      </c>
      <c r="C31" s="4">
        <v>1</v>
      </c>
      <c r="D31" s="4">
        <v>1</v>
      </c>
      <c r="F31" s="51" t="s">
        <v>342</v>
      </c>
      <c r="G31" s="16"/>
      <c r="H31" s="61">
        <v>0</v>
      </c>
      <c r="I31" s="61">
        <v>0</v>
      </c>
      <c r="J31" s="61">
        <v>0</v>
      </c>
      <c r="K31" s="86">
        <v>0</v>
      </c>
      <c r="L31" s="86">
        <v>0</v>
      </c>
      <c r="M31" s="61">
        <v>0</v>
      </c>
      <c r="N31" s="61">
        <v>0</v>
      </c>
      <c r="O31" s="61">
        <v>0</v>
      </c>
      <c r="P31" s="61">
        <v>0</v>
      </c>
      <c r="Q31" s="61">
        <v>0.13</v>
      </c>
      <c r="R31" s="61">
        <v>0</v>
      </c>
      <c r="S31" s="61">
        <v>0</v>
      </c>
      <c r="T31" s="61">
        <v>0.65</v>
      </c>
      <c r="U31" s="61">
        <v>0.37999999999999989</v>
      </c>
      <c r="V31" s="61">
        <v>0</v>
      </c>
      <c r="W31" s="61">
        <v>0</v>
      </c>
      <c r="X31" s="61">
        <v>0</v>
      </c>
      <c r="Y31" s="61">
        <v>1.1599999999999999</v>
      </c>
      <c r="Z31" s="16"/>
      <c r="AA31" s="61">
        <v>0</v>
      </c>
      <c r="AB31" s="60">
        <v>1.1599999999999999</v>
      </c>
      <c r="AC31" s="34"/>
      <c r="AD31" s="61">
        <v>0</v>
      </c>
      <c r="AE31" s="60">
        <v>1.1599999999999999</v>
      </c>
    </row>
    <row r="32" spans="1:33" ht="18" customHeight="1" x14ac:dyDescent="0.2">
      <c r="A32" s="32"/>
      <c r="B32" s="32"/>
      <c r="C32" s="4">
        <v>81225636136503.594</v>
      </c>
      <c r="D32" s="4">
        <v>568579452955525.13</v>
      </c>
      <c r="F32" s="51" t="s">
        <v>343</v>
      </c>
      <c r="G32" s="16"/>
      <c r="H32" s="61">
        <v>6.8389738316909643E-14</v>
      </c>
      <c r="I32" s="61">
        <v>18.916999999999678</v>
      </c>
      <c r="J32" s="61">
        <v>18.916999999999678</v>
      </c>
      <c r="K32" s="86">
        <v>-1.9895196601282805E-13</v>
      </c>
      <c r="L32" s="86">
        <v>2.8421709430404007E-14</v>
      </c>
      <c r="M32" s="61">
        <v>1.0658141036401503E-14</v>
      </c>
      <c r="N32" s="61">
        <v>9.7239999999999824</v>
      </c>
      <c r="O32" s="61">
        <v>1.9400000000000333</v>
      </c>
      <c r="P32" s="61">
        <v>0.75399999999997269</v>
      </c>
      <c r="Q32" s="61">
        <v>0.19499999999991591</v>
      </c>
      <c r="R32" s="61">
        <v>4.9737991503207013E-14</v>
      </c>
      <c r="S32" s="61">
        <v>1.758593271006248E-13</v>
      </c>
      <c r="T32" s="61">
        <v>-9.5923269327613525E-14</v>
      </c>
      <c r="U32" s="61">
        <v>1.433999999999882</v>
      </c>
      <c r="V32" s="61">
        <v>0.37500000000001954</v>
      </c>
      <c r="W32" s="61">
        <v>0.94200000000009609</v>
      </c>
      <c r="X32" s="61">
        <v>0.79700000000010007</v>
      </c>
      <c r="Y32" s="61">
        <v>16.161000000000108</v>
      </c>
      <c r="Z32" s="16"/>
      <c r="AA32" s="61">
        <v>-1.9895196601282805E-13</v>
      </c>
      <c r="AB32" s="60">
        <v>16.16</v>
      </c>
      <c r="AC32" s="34"/>
      <c r="AD32" s="61">
        <v>2.8421709430404007E-14</v>
      </c>
      <c r="AE32" s="60">
        <v>16.16</v>
      </c>
    </row>
    <row r="33" spans="1:33" s="7" customFormat="1" ht="18" customHeight="1" x14ac:dyDescent="0.2">
      <c r="A33" s="32"/>
      <c r="B33" s="32"/>
      <c r="C33" s="5">
        <v>343600525141793.63</v>
      </c>
      <c r="D33" s="5">
        <v>3.5757575757575738E-2</v>
      </c>
      <c r="F33" s="118" t="s">
        <v>373</v>
      </c>
      <c r="G33" s="16"/>
      <c r="H33" s="120">
        <v>310.18200000000007</v>
      </c>
      <c r="I33" s="120">
        <v>74.79299999999968</v>
      </c>
      <c r="J33" s="120">
        <v>74.79299999999968</v>
      </c>
      <c r="K33" s="121">
        <v>-1.9895196601282805E-13</v>
      </c>
      <c r="L33" s="121">
        <v>66.000000000000028</v>
      </c>
      <c r="M33" s="120">
        <v>1.0658141036401503E-14</v>
      </c>
      <c r="N33" s="120">
        <v>19.385999999999981</v>
      </c>
      <c r="O33" s="120">
        <v>8.8190000000000346</v>
      </c>
      <c r="P33" s="120">
        <v>3.0939999999999737</v>
      </c>
      <c r="Q33" s="120">
        <v>3.5159999999999139</v>
      </c>
      <c r="R33" s="120">
        <v>4.0550000000000512</v>
      </c>
      <c r="S33" s="120">
        <v>2.9890000000001749</v>
      </c>
      <c r="T33" s="120">
        <v>4.185999999999904</v>
      </c>
      <c r="U33" s="120">
        <v>7.4669999999998824</v>
      </c>
      <c r="V33" s="120">
        <v>2.6940000000000186</v>
      </c>
      <c r="W33" s="120">
        <v>5.373000000000097</v>
      </c>
      <c r="X33" s="120">
        <v>6.7840000000001019</v>
      </c>
      <c r="Y33" s="120">
        <v>68.363000000000113</v>
      </c>
      <c r="Z33" s="16"/>
      <c r="AA33" s="120">
        <v>-1.9895196601282805E-13</v>
      </c>
      <c r="AB33" s="60">
        <v>68.36</v>
      </c>
      <c r="AC33" s="239"/>
      <c r="AD33" s="120">
        <v>66.000000000000028</v>
      </c>
      <c r="AE33" s="60">
        <v>2.36</v>
      </c>
    </row>
    <row r="34" spans="1:33" ht="8.25" customHeight="1" x14ac:dyDescent="0.2">
      <c r="A34" s="116"/>
      <c r="B34" s="116"/>
      <c r="C34" s="4"/>
      <c r="D34" s="4"/>
      <c r="F34" s="8"/>
      <c r="G34" s="16"/>
      <c r="K34" s="8"/>
      <c r="L34" s="8"/>
      <c r="Z34" s="16"/>
      <c r="AB34" s="8"/>
      <c r="AE34" s="8"/>
    </row>
    <row r="35" spans="1:33" ht="18" hidden="1" customHeight="1" outlineLevel="1" x14ac:dyDescent="0.2">
      <c r="A35" s="46" t="s">
        <v>303</v>
      </c>
      <c r="B35" s="46" t="s">
        <v>17</v>
      </c>
      <c r="C35" s="47">
        <v>-0.19507330557402291</v>
      </c>
      <c r="D35" s="47">
        <v>-4.6511124812062613E-3</v>
      </c>
      <c r="E35" s="31"/>
      <c r="F35" s="94" t="s">
        <v>346</v>
      </c>
      <c r="G35" s="16"/>
      <c r="H35" s="59">
        <v>137.774</v>
      </c>
      <c r="I35" s="59">
        <v>120.113</v>
      </c>
      <c r="J35" s="59">
        <v>120.113</v>
      </c>
      <c r="K35" s="59">
        <v>114.316</v>
      </c>
      <c r="L35" s="59">
        <v>92.450999999999993</v>
      </c>
      <c r="M35" s="59">
        <v>2.835</v>
      </c>
      <c r="N35" s="59">
        <v>3.3710000000000004</v>
      </c>
      <c r="O35" s="59">
        <v>4.2759999999999989</v>
      </c>
      <c r="P35" s="59">
        <v>6.1120000000000019</v>
      </c>
      <c r="Q35" s="59">
        <v>5.629999999999999</v>
      </c>
      <c r="R35" s="59">
        <v>13.632000000000001</v>
      </c>
      <c r="S35" s="59">
        <v>2.5529999999999973</v>
      </c>
      <c r="T35" s="59">
        <v>9.7169999999999987</v>
      </c>
      <c r="U35" s="59">
        <v>12.423999999999999</v>
      </c>
      <c r="V35" s="59">
        <v>4.4270000000000067</v>
      </c>
      <c r="W35" s="59">
        <v>15.084999999999994</v>
      </c>
      <c r="X35" s="59">
        <v>11.957999999999998</v>
      </c>
      <c r="Y35" s="59">
        <v>92.02</v>
      </c>
      <c r="Z35" s="16"/>
      <c r="AA35" s="59">
        <v>114.31599999999999</v>
      </c>
      <c r="AB35" s="63">
        <v>-22.3</v>
      </c>
      <c r="AC35" s="31"/>
      <c r="AD35" s="59">
        <v>92.450999999999979</v>
      </c>
      <c r="AE35" s="63">
        <v>-0.43</v>
      </c>
    </row>
    <row r="36" spans="1:33" ht="18" hidden="1" customHeight="1" outlineLevel="1" x14ac:dyDescent="0.2">
      <c r="A36" s="46" t="s">
        <v>301</v>
      </c>
      <c r="B36" s="46" t="s">
        <v>304</v>
      </c>
      <c r="C36" s="47">
        <v>1.0000417205557177</v>
      </c>
      <c r="D36" s="47">
        <v>1.0000417205557177</v>
      </c>
      <c r="E36" s="31"/>
      <c r="F36" s="94" t="s">
        <v>347</v>
      </c>
      <c r="G36" s="16"/>
      <c r="H36" s="59">
        <v>22.356000000000002</v>
      </c>
      <c r="I36" s="59">
        <v>7.7240000000000002</v>
      </c>
      <c r="J36" s="59">
        <v>7.7240000000000002</v>
      </c>
      <c r="K36" s="59">
        <v>0</v>
      </c>
      <c r="L36" s="59">
        <v>0</v>
      </c>
      <c r="M36" s="59">
        <v>0</v>
      </c>
      <c r="N36" s="59">
        <v>0.16400000000000001</v>
      </c>
      <c r="O36" s="59">
        <v>7.2690000000000001</v>
      </c>
      <c r="P36" s="59">
        <v>0</v>
      </c>
      <c r="Q36" s="59">
        <v>4.9999999999999822E-2</v>
      </c>
      <c r="R36" s="59">
        <v>14.675000000000001</v>
      </c>
      <c r="S36" s="59">
        <v>1.546999999999997</v>
      </c>
      <c r="T36" s="59">
        <v>2.6010000000000026</v>
      </c>
      <c r="U36" s="59">
        <v>1.9359999999999999</v>
      </c>
      <c r="V36" s="59">
        <v>-1.4480000000000004</v>
      </c>
      <c r="W36" s="59">
        <v>13.694999999999997</v>
      </c>
      <c r="X36" s="59">
        <v>7.4490000000000052</v>
      </c>
      <c r="Y36" s="59">
        <v>47.938000000000002</v>
      </c>
      <c r="Z36" s="16"/>
      <c r="AA36" s="59">
        <v>0</v>
      </c>
      <c r="AB36" s="63">
        <v>47.94</v>
      </c>
      <c r="AC36" s="31"/>
      <c r="AD36" s="59">
        <v>0</v>
      </c>
      <c r="AE36" s="63">
        <v>47.94</v>
      </c>
    </row>
    <row r="37" spans="1:33" ht="18" customHeight="1" collapsed="1" x14ac:dyDescent="0.2">
      <c r="A37" s="32"/>
      <c r="B37" s="32"/>
      <c r="C37" s="4">
        <v>0.22429056300080483</v>
      </c>
      <c r="D37" s="4">
        <v>0.51389384647002201</v>
      </c>
      <c r="F37" s="213" t="s">
        <v>436</v>
      </c>
      <c r="G37" s="16"/>
      <c r="H37" s="61">
        <v>160.13</v>
      </c>
      <c r="I37" s="61">
        <v>127.837</v>
      </c>
      <c r="J37" s="61">
        <v>127.837</v>
      </c>
      <c r="K37" s="86">
        <v>114.316</v>
      </c>
      <c r="L37" s="86">
        <v>92.450999999999993</v>
      </c>
      <c r="M37" s="61">
        <v>2.835</v>
      </c>
      <c r="N37" s="61">
        <v>3.5350000000000006</v>
      </c>
      <c r="O37" s="61">
        <v>11.544999999999998</v>
      </c>
      <c r="P37" s="61">
        <v>6.1120000000000019</v>
      </c>
      <c r="Q37" s="61">
        <v>5.6799999999999988</v>
      </c>
      <c r="R37" s="61">
        <v>28.307000000000002</v>
      </c>
      <c r="S37" s="61">
        <v>4.0999999999999943</v>
      </c>
      <c r="T37" s="61">
        <v>12.318000000000001</v>
      </c>
      <c r="U37" s="61">
        <v>14.36</v>
      </c>
      <c r="V37" s="61">
        <v>2.9790000000000063</v>
      </c>
      <c r="W37" s="61">
        <v>28.77999999999999</v>
      </c>
      <c r="X37" s="61">
        <v>19.407000000000004</v>
      </c>
      <c r="Y37" s="61">
        <v>139.958</v>
      </c>
      <c r="Z37" s="16"/>
      <c r="AA37" s="61">
        <v>114.31599999999999</v>
      </c>
      <c r="AB37" s="60">
        <v>25.64</v>
      </c>
      <c r="AC37" s="34"/>
      <c r="AD37" s="61">
        <v>92.450999999999979</v>
      </c>
      <c r="AE37" s="60">
        <v>47.51</v>
      </c>
      <c r="AG37" s="48"/>
    </row>
    <row r="38" spans="1:33" ht="18" hidden="1" customHeight="1" outlineLevel="1" x14ac:dyDescent="0.2">
      <c r="A38" s="46" t="s">
        <v>300</v>
      </c>
      <c r="B38" s="46" t="s">
        <v>17</v>
      </c>
      <c r="C38" s="47">
        <v>1</v>
      </c>
      <c r="D38" s="47">
        <v>1</v>
      </c>
      <c r="E38" s="31"/>
      <c r="F38" s="217" t="s">
        <v>437</v>
      </c>
      <c r="G38" s="16"/>
      <c r="H38" s="59">
        <v>7.7220000000000004</v>
      </c>
      <c r="I38" s="59">
        <v>4.2999999999999997E-2</v>
      </c>
      <c r="J38" s="59">
        <v>4.2999999999999997E-2</v>
      </c>
      <c r="K38" s="59">
        <v>0</v>
      </c>
      <c r="L38" s="59">
        <v>0</v>
      </c>
      <c r="M38" s="59">
        <v>0.39</v>
      </c>
      <c r="N38" s="59">
        <v>0</v>
      </c>
      <c r="O38" s="59">
        <v>0</v>
      </c>
      <c r="P38" s="59">
        <v>0</v>
      </c>
      <c r="Q38" s="59">
        <v>0</v>
      </c>
      <c r="R38" s="59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0.39</v>
      </c>
      <c r="Z38" s="16"/>
      <c r="AA38" s="59">
        <v>0</v>
      </c>
      <c r="AB38" s="63">
        <v>0.39</v>
      </c>
      <c r="AC38" s="31"/>
      <c r="AD38" s="59">
        <v>0</v>
      </c>
      <c r="AE38" s="63">
        <v>0.39</v>
      </c>
    </row>
    <row r="39" spans="1:33" ht="18" hidden="1" customHeight="1" outlineLevel="1" x14ac:dyDescent="0.2">
      <c r="A39" s="46" t="s">
        <v>301</v>
      </c>
      <c r="B39" s="46" t="s">
        <v>302</v>
      </c>
      <c r="C39" s="47">
        <v>-1.015228426395939</v>
      </c>
      <c r="D39" s="47">
        <v>-1.015228426395939</v>
      </c>
      <c r="E39" s="31"/>
      <c r="F39" s="217" t="s">
        <v>438</v>
      </c>
      <c r="G39" s="16"/>
      <c r="H39" s="59">
        <v>0.72599999999999998</v>
      </c>
      <c r="I39" s="59">
        <v>1.206</v>
      </c>
      <c r="J39" s="59">
        <v>1.206</v>
      </c>
      <c r="K39" s="59">
        <v>0</v>
      </c>
      <c r="L39" s="59">
        <v>0</v>
      </c>
      <c r="M39" s="59">
        <v>0</v>
      </c>
      <c r="N39" s="59">
        <v>0</v>
      </c>
      <c r="O39" s="59">
        <v>0</v>
      </c>
      <c r="P39" s="59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-0.27200000000000002</v>
      </c>
      <c r="X39" s="59">
        <v>7.5000000000000011E-2</v>
      </c>
      <c r="Y39" s="59">
        <v>-0.19700000000000001</v>
      </c>
      <c r="Z39" s="16"/>
      <c r="AA39" s="59">
        <v>0</v>
      </c>
      <c r="AB39" s="63">
        <v>-0.2</v>
      </c>
      <c r="AC39" s="31"/>
      <c r="AD39" s="59">
        <v>0</v>
      </c>
      <c r="AE39" s="63">
        <v>-0.2</v>
      </c>
    </row>
    <row r="40" spans="1:33" ht="18" customHeight="1" collapsed="1" x14ac:dyDescent="0.2">
      <c r="A40" s="32"/>
      <c r="B40" s="32"/>
      <c r="C40" s="4">
        <v>0.98445595854922274</v>
      </c>
      <c r="D40" s="4">
        <v>0.98445595854922274</v>
      </c>
      <c r="F40" s="213" t="s">
        <v>439</v>
      </c>
      <c r="G40" s="16"/>
      <c r="H40" s="61">
        <v>8.4480000000000004</v>
      </c>
      <c r="I40" s="61">
        <v>1.2489999999999999</v>
      </c>
      <c r="J40" s="61">
        <v>1.2489999999999999</v>
      </c>
      <c r="K40" s="86">
        <v>0</v>
      </c>
      <c r="L40" s="86">
        <v>0</v>
      </c>
      <c r="M40" s="61">
        <v>0.39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-0.27200000000000002</v>
      </c>
      <c r="X40" s="61">
        <v>7.5000000000000011E-2</v>
      </c>
      <c r="Y40" s="61">
        <v>0.193</v>
      </c>
      <c r="Z40" s="16"/>
      <c r="AA40" s="61">
        <v>0</v>
      </c>
      <c r="AB40" s="60">
        <v>0.19</v>
      </c>
      <c r="AC40" s="34"/>
      <c r="AD40" s="61">
        <v>0</v>
      </c>
      <c r="AE40" s="60">
        <v>0.19</v>
      </c>
      <c r="AG40" s="48"/>
    </row>
    <row r="41" spans="1:33" ht="18" hidden="1" customHeight="1" outlineLevel="1" x14ac:dyDescent="0.2">
      <c r="A41" s="46" t="s">
        <v>309</v>
      </c>
      <c r="B41" s="46" t="s">
        <v>17</v>
      </c>
      <c r="C41" s="47">
        <v>1.0004349717268377</v>
      </c>
      <c r="D41" s="47">
        <v>1.0004349717268377</v>
      </c>
      <c r="E41" s="31"/>
      <c r="F41" s="217" t="s">
        <v>440</v>
      </c>
      <c r="G41" s="16"/>
      <c r="H41" s="59">
        <v>10.596</v>
      </c>
      <c r="I41" s="59">
        <v>8.6829999999999998</v>
      </c>
      <c r="J41" s="59">
        <v>8.6829999999999998</v>
      </c>
      <c r="K41" s="59">
        <v>0</v>
      </c>
      <c r="L41" s="59">
        <v>0</v>
      </c>
      <c r="M41" s="59">
        <v>1.5449999999999999</v>
      </c>
      <c r="N41" s="59">
        <v>1.0880000000000001</v>
      </c>
      <c r="O41" s="59">
        <v>0</v>
      </c>
      <c r="P41" s="59">
        <v>0.68900000000000006</v>
      </c>
      <c r="Q41" s="59">
        <v>0</v>
      </c>
      <c r="R41" s="59">
        <v>0.2799999999999998</v>
      </c>
      <c r="S41" s="59">
        <v>0</v>
      </c>
      <c r="T41" s="59">
        <v>0</v>
      </c>
      <c r="U41" s="59">
        <v>0</v>
      </c>
      <c r="V41" s="59">
        <v>3.1240000000000001</v>
      </c>
      <c r="W41" s="59">
        <v>0</v>
      </c>
      <c r="X41" s="59">
        <v>2.4699999999999998</v>
      </c>
      <c r="Y41" s="59">
        <v>9.1959999999999997</v>
      </c>
      <c r="Z41" s="16"/>
      <c r="AA41" s="59">
        <v>0</v>
      </c>
      <c r="AB41" s="63">
        <v>9.1999999999999993</v>
      </c>
      <c r="AC41" s="31"/>
      <c r="AD41" s="59">
        <v>0</v>
      </c>
      <c r="AE41" s="63">
        <v>9.1999999999999993</v>
      </c>
    </row>
    <row r="42" spans="1:33" ht="18" hidden="1" customHeight="1" outlineLevel="1" x14ac:dyDescent="0.2">
      <c r="A42" s="46" t="s">
        <v>301</v>
      </c>
      <c r="B42" s="46" t="s">
        <v>308</v>
      </c>
      <c r="C42" s="47">
        <v>0</v>
      </c>
      <c r="D42" s="47">
        <v>0</v>
      </c>
      <c r="E42" s="31"/>
      <c r="F42" s="217" t="s">
        <v>441</v>
      </c>
      <c r="G42" s="16"/>
      <c r="H42" s="59">
        <v>0.73499999999999999</v>
      </c>
      <c r="I42" s="59">
        <v>0.32300000000000001</v>
      </c>
      <c r="J42" s="59">
        <v>0.32300000000000001</v>
      </c>
      <c r="K42" s="59">
        <v>0</v>
      </c>
      <c r="L42" s="59">
        <v>0</v>
      </c>
      <c r="M42" s="59">
        <v>0</v>
      </c>
      <c r="N42" s="59">
        <v>0</v>
      </c>
      <c r="O42" s="59">
        <v>0</v>
      </c>
      <c r="P42" s="59">
        <v>0</v>
      </c>
      <c r="Q42" s="59">
        <v>0</v>
      </c>
      <c r="R42" s="59">
        <v>0</v>
      </c>
      <c r="S42" s="59">
        <v>0</v>
      </c>
      <c r="T42" s="59">
        <v>0</v>
      </c>
      <c r="U42" s="59">
        <v>0</v>
      </c>
      <c r="V42" s="59">
        <v>0</v>
      </c>
      <c r="W42" s="59">
        <v>0</v>
      </c>
      <c r="X42" s="59">
        <v>0</v>
      </c>
      <c r="Y42" s="59">
        <v>0</v>
      </c>
      <c r="Z42" s="16"/>
      <c r="AA42" s="59">
        <v>0</v>
      </c>
      <c r="AB42" s="63">
        <v>0</v>
      </c>
      <c r="AC42" s="31"/>
      <c r="AD42" s="59">
        <v>0</v>
      </c>
      <c r="AE42" s="63">
        <v>0</v>
      </c>
    </row>
    <row r="43" spans="1:33" ht="18" customHeight="1" collapsed="1" x14ac:dyDescent="0.2">
      <c r="A43" s="32"/>
      <c r="B43" s="32"/>
      <c r="C43" s="4">
        <v>1.0004349717268377</v>
      </c>
      <c r="D43" s="4">
        <v>1.0004349717268377</v>
      </c>
      <c r="F43" s="213" t="s">
        <v>442</v>
      </c>
      <c r="G43" s="16"/>
      <c r="H43" s="61">
        <v>11.331</v>
      </c>
      <c r="I43" s="61">
        <v>9.0060000000000002</v>
      </c>
      <c r="J43" s="61">
        <v>9.0060000000000002</v>
      </c>
      <c r="K43" s="86">
        <v>0</v>
      </c>
      <c r="L43" s="86">
        <v>0</v>
      </c>
      <c r="M43" s="61">
        <v>1.5449999999999999</v>
      </c>
      <c r="N43" s="61">
        <v>1.0880000000000001</v>
      </c>
      <c r="O43" s="61">
        <v>0</v>
      </c>
      <c r="P43" s="61">
        <v>0.68900000000000006</v>
      </c>
      <c r="Q43" s="61">
        <v>0</v>
      </c>
      <c r="R43" s="61">
        <v>0.2799999999999998</v>
      </c>
      <c r="S43" s="61">
        <v>0</v>
      </c>
      <c r="T43" s="61">
        <v>0</v>
      </c>
      <c r="U43" s="61">
        <v>0</v>
      </c>
      <c r="V43" s="61">
        <v>3.1240000000000001</v>
      </c>
      <c r="W43" s="61">
        <v>0</v>
      </c>
      <c r="X43" s="61">
        <v>2.4699999999999998</v>
      </c>
      <c r="Y43" s="61">
        <v>9.1959999999999997</v>
      </c>
      <c r="Z43" s="16"/>
      <c r="AA43" s="61">
        <v>0</v>
      </c>
      <c r="AB43" s="60">
        <v>9.1999999999999993</v>
      </c>
      <c r="AC43" s="34"/>
      <c r="AD43" s="61">
        <v>0</v>
      </c>
      <c r="AE43" s="60">
        <v>9.1999999999999993</v>
      </c>
      <c r="AG43" s="48"/>
    </row>
    <row r="44" spans="1:33" ht="18" hidden="1" customHeight="1" outlineLevel="1" x14ac:dyDescent="0.2">
      <c r="A44" s="212" t="s">
        <v>435</v>
      </c>
      <c r="B44" s="46" t="s">
        <v>17</v>
      </c>
      <c r="C44" s="47">
        <v>0</v>
      </c>
      <c r="D44" s="47">
        <v>0</v>
      </c>
      <c r="E44" s="31"/>
      <c r="F44" s="199" t="s">
        <v>433</v>
      </c>
      <c r="G44" s="16"/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  <c r="N44" s="59">
        <v>0</v>
      </c>
      <c r="O44" s="59">
        <v>0</v>
      </c>
      <c r="P44" s="59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16"/>
      <c r="AA44" s="59">
        <v>0</v>
      </c>
      <c r="AB44" s="63">
        <v>0</v>
      </c>
      <c r="AC44" s="31"/>
      <c r="AD44" s="59">
        <v>0</v>
      </c>
      <c r="AE44" s="63">
        <v>0</v>
      </c>
    </row>
    <row r="45" spans="1:33" ht="18" hidden="1" customHeight="1" outlineLevel="1" x14ac:dyDescent="0.2">
      <c r="A45" s="46" t="s">
        <v>301</v>
      </c>
      <c r="B45" s="212" t="s">
        <v>451</v>
      </c>
      <c r="C45" s="47">
        <v>0</v>
      </c>
      <c r="D45" s="47">
        <v>0</v>
      </c>
      <c r="E45" s="31"/>
      <c r="F45" s="199" t="s">
        <v>434</v>
      </c>
      <c r="G45" s="16"/>
      <c r="H45" s="59">
        <v>0</v>
      </c>
      <c r="I45" s="59">
        <v>0</v>
      </c>
      <c r="J45" s="59">
        <v>0</v>
      </c>
      <c r="K45" s="59">
        <v>0</v>
      </c>
      <c r="L45" s="59">
        <v>0</v>
      </c>
      <c r="M45" s="59">
        <v>0</v>
      </c>
      <c r="N45" s="59">
        <v>0</v>
      </c>
      <c r="O45" s="59">
        <v>0</v>
      </c>
      <c r="P45" s="59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16"/>
      <c r="AA45" s="59">
        <v>0</v>
      </c>
      <c r="AB45" s="63">
        <v>0</v>
      </c>
      <c r="AC45" s="31"/>
      <c r="AD45" s="59">
        <v>0</v>
      </c>
      <c r="AE45" s="63">
        <v>0</v>
      </c>
    </row>
    <row r="46" spans="1:33" ht="18" customHeight="1" collapsed="1" x14ac:dyDescent="0.2">
      <c r="A46" s="32"/>
      <c r="B46" s="32"/>
      <c r="C46" s="4">
        <v>0</v>
      </c>
      <c r="D46" s="4">
        <v>0</v>
      </c>
      <c r="F46" s="51" t="s">
        <v>432</v>
      </c>
      <c r="G46" s="16"/>
      <c r="H46" s="197">
        <v>0</v>
      </c>
      <c r="I46" s="197">
        <v>0</v>
      </c>
      <c r="J46" s="197">
        <v>0</v>
      </c>
      <c r="K46" s="86">
        <v>0</v>
      </c>
      <c r="L46" s="86">
        <v>0</v>
      </c>
      <c r="M46" s="197">
        <v>0</v>
      </c>
      <c r="N46" s="197">
        <v>0</v>
      </c>
      <c r="O46" s="197">
        <v>0</v>
      </c>
      <c r="P46" s="197">
        <v>0</v>
      </c>
      <c r="Q46" s="197">
        <v>0</v>
      </c>
      <c r="R46" s="197">
        <v>0</v>
      </c>
      <c r="S46" s="197">
        <v>0</v>
      </c>
      <c r="T46" s="197">
        <v>0</v>
      </c>
      <c r="U46" s="197">
        <v>0</v>
      </c>
      <c r="V46" s="197">
        <v>0</v>
      </c>
      <c r="W46" s="197">
        <v>0</v>
      </c>
      <c r="X46" s="197">
        <v>0</v>
      </c>
      <c r="Y46" s="197">
        <v>0</v>
      </c>
      <c r="Z46" s="16"/>
      <c r="AA46" s="197">
        <v>0</v>
      </c>
      <c r="AB46" s="60">
        <v>0</v>
      </c>
      <c r="AC46" s="34"/>
      <c r="AD46" s="197">
        <v>0</v>
      </c>
      <c r="AE46" s="60">
        <v>0</v>
      </c>
      <c r="AG46" s="48"/>
    </row>
    <row r="47" spans="1:33" ht="18" hidden="1" customHeight="1" outlineLevel="1" x14ac:dyDescent="0.2">
      <c r="A47" s="46" t="s">
        <v>306</v>
      </c>
      <c r="B47" s="46" t="s">
        <v>17</v>
      </c>
      <c r="C47" s="47">
        <v>0</v>
      </c>
      <c r="D47" s="47">
        <v>0</v>
      </c>
      <c r="E47" s="31"/>
      <c r="F47" s="94" t="s">
        <v>350</v>
      </c>
      <c r="G47" s="16"/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16"/>
      <c r="AA47" s="59">
        <v>0</v>
      </c>
      <c r="AB47" s="63">
        <v>0</v>
      </c>
      <c r="AC47" s="31"/>
      <c r="AD47" s="59">
        <v>0</v>
      </c>
      <c r="AE47" s="63">
        <v>0</v>
      </c>
    </row>
    <row r="48" spans="1:33" ht="18" hidden="1" customHeight="1" outlineLevel="1" x14ac:dyDescent="0.2">
      <c r="A48" s="46" t="s">
        <v>301</v>
      </c>
      <c r="B48" s="46" t="s">
        <v>307</v>
      </c>
      <c r="C48" s="47">
        <v>0</v>
      </c>
      <c r="D48" s="47">
        <v>0</v>
      </c>
      <c r="E48" s="31"/>
      <c r="F48" s="94" t="s">
        <v>351</v>
      </c>
      <c r="G48" s="16"/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16"/>
      <c r="AA48" s="59">
        <v>0</v>
      </c>
      <c r="AB48" s="63">
        <v>0</v>
      </c>
      <c r="AC48" s="31"/>
      <c r="AD48" s="59">
        <v>0</v>
      </c>
      <c r="AE48" s="63">
        <v>0</v>
      </c>
    </row>
    <row r="49" spans="1:33" ht="18" customHeight="1" collapsed="1" x14ac:dyDescent="0.2">
      <c r="A49" s="32"/>
      <c r="B49" s="32"/>
      <c r="C49" s="4">
        <v>0</v>
      </c>
      <c r="D49" s="4">
        <v>0</v>
      </c>
      <c r="F49" s="51" t="s">
        <v>325</v>
      </c>
      <c r="G49" s="16"/>
      <c r="H49" s="61">
        <v>0</v>
      </c>
      <c r="I49" s="61">
        <v>0</v>
      </c>
      <c r="J49" s="61">
        <v>0</v>
      </c>
      <c r="K49" s="86">
        <v>0</v>
      </c>
      <c r="L49" s="86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  <c r="R49" s="61">
        <v>0</v>
      </c>
      <c r="S49" s="61">
        <v>0</v>
      </c>
      <c r="T49" s="61">
        <v>0</v>
      </c>
      <c r="U49" s="61">
        <v>0</v>
      </c>
      <c r="V49" s="61">
        <v>0</v>
      </c>
      <c r="W49" s="61">
        <v>0</v>
      </c>
      <c r="X49" s="61">
        <v>0</v>
      </c>
      <c r="Y49" s="61">
        <v>0</v>
      </c>
      <c r="Z49" s="16"/>
      <c r="AA49" s="61">
        <v>0</v>
      </c>
      <c r="AB49" s="60">
        <v>0</v>
      </c>
      <c r="AC49" s="34"/>
      <c r="AD49" s="61">
        <v>0</v>
      </c>
      <c r="AE49" s="60">
        <v>0</v>
      </c>
      <c r="AG49" s="48"/>
    </row>
    <row r="50" spans="1:33" ht="18" hidden="1" customHeight="1" outlineLevel="1" x14ac:dyDescent="0.2">
      <c r="A50" s="46" t="s">
        <v>305</v>
      </c>
      <c r="B50" s="46" t="s">
        <v>17</v>
      </c>
      <c r="C50" s="47">
        <v>0</v>
      </c>
      <c r="D50" s="47">
        <v>0</v>
      </c>
      <c r="E50" s="31"/>
      <c r="F50" s="94" t="s">
        <v>353</v>
      </c>
      <c r="G50" s="16"/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0</v>
      </c>
      <c r="Z50" s="16"/>
      <c r="AA50" s="59">
        <v>0</v>
      </c>
      <c r="AB50" s="63">
        <v>0</v>
      </c>
      <c r="AC50" s="31"/>
      <c r="AD50" s="59">
        <v>0</v>
      </c>
      <c r="AE50" s="63">
        <v>0</v>
      </c>
    </row>
    <row r="51" spans="1:33" ht="18" hidden="1" customHeight="1" outlineLevel="1" x14ac:dyDescent="0.2">
      <c r="A51" s="46" t="s">
        <v>301</v>
      </c>
      <c r="B51" s="46" t="s">
        <v>352</v>
      </c>
      <c r="C51" s="47">
        <v>0</v>
      </c>
      <c r="D51" s="47">
        <v>0</v>
      </c>
      <c r="E51" s="31"/>
      <c r="F51" s="94" t="s">
        <v>354</v>
      </c>
      <c r="G51" s="16"/>
      <c r="H51" s="59">
        <v>0</v>
      </c>
      <c r="I51" s="59">
        <v>0</v>
      </c>
      <c r="J51" s="59">
        <v>0</v>
      </c>
      <c r="K51" s="59">
        <v>0</v>
      </c>
      <c r="L51" s="59">
        <v>0</v>
      </c>
      <c r="M51" s="59">
        <v>0</v>
      </c>
      <c r="N51" s="59">
        <v>0</v>
      </c>
      <c r="O51" s="59">
        <v>0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59">
        <v>0</v>
      </c>
      <c r="Y51" s="59">
        <v>0</v>
      </c>
      <c r="Z51" s="16"/>
      <c r="AA51" s="59">
        <v>0</v>
      </c>
      <c r="AB51" s="63">
        <v>0</v>
      </c>
      <c r="AC51" s="31"/>
      <c r="AD51" s="59">
        <v>0</v>
      </c>
      <c r="AE51" s="63">
        <v>0</v>
      </c>
    </row>
    <row r="52" spans="1:33" ht="18" hidden="1" customHeight="1" outlineLevel="1" x14ac:dyDescent="0.2">
      <c r="A52" s="46" t="s">
        <v>310</v>
      </c>
      <c r="B52" s="46" t="s">
        <v>334</v>
      </c>
      <c r="C52" s="47">
        <v>1</v>
      </c>
      <c r="D52" s="47">
        <v>1</v>
      </c>
      <c r="E52" s="31"/>
      <c r="F52" s="94" t="s">
        <v>355</v>
      </c>
      <c r="G52" s="16"/>
      <c r="H52" s="59">
        <v>0</v>
      </c>
      <c r="I52" s="59">
        <v>0</v>
      </c>
      <c r="J52" s="59">
        <v>0</v>
      </c>
      <c r="K52" s="59">
        <v>0</v>
      </c>
      <c r="L52" s="59">
        <v>0</v>
      </c>
      <c r="M52" s="59">
        <v>0</v>
      </c>
      <c r="N52" s="59">
        <v>0</v>
      </c>
      <c r="O52" s="59">
        <v>0</v>
      </c>
      <c r="P52" s="59">
        <v>0</v>
      </c>
      <c r="Q52" s="59">
        <v>0</v>
      </c>
      <c r="R52" s="59">
        <v>0</v>
      </c>
      <c r="S52" s="59">
        <v>0</v>
      </c>
      <c r="T52" s="59">
        <v>0</v>
      </c>
      <c r="U52" s="59">
        <v>0.13</v>
      </c>
      <c r="V52" s="59">
        <v>0</v>
      </c>
      <c r="W52" s="59">
        <v>0</v>
      </c>
      <c r="X52" s="59">
        <v>0</v>
      </c>
      <c r="Y52" s="59">
        <v>0.13</v>
      </c>
      <c r="Z52" s="16"/>
      <c r="AA52" s="59">
        <v>0</v>
      </c>
      <c r="AB52" s="60">
        <v>0.13</v>
      </c>
      <c r="AC52" s="31"/>
      <c r="AD52" s="59">
        <v>0</v>
      </c>
      <c r="AE52" s="60">
        <v>0.13</v>
      </c>
    </row>
    <row r="53" spans="1:33" ht="18" customHeight="1" collapsed="1" x14ac:dyDescent="0.2">
      <c r="A53" s="32"/>
      <c r="B53" s="32"/>
      <c r="C53" s="4">
        <v>1</v>
      </c>
      <c r="D53" s="4">
        <v>1</v>
      </c>
      <c r="F53" s="51" t="s">
        <v>363</v>
      </c>
      <c r="G53" s="16"/>
      <c r="H53" s="61">
        <v>0</v>
      </c>
      <c r="I53" s="61">
        <v>0</v>
      </c>
      <c r="J53" s="61">
        <v>0</v>
      </c>
      <c r="K53" s="86">
        <v>0</v>
      </c>
      <c r="L53" s="86">
        <v>0</v>
      </c>
      <c r="M53" s="61">
        <v>0</v>
      </c>
      <c r="N53" s="61">
        <v>0</v>
      </c>
      <c r="O53" s="61">
        <v>0</v>
      </c>
      <c r="P53" s="61">
        <v>0</v>
      </c>
      <c r="Q53" s="61">
        <v>0</v>
      </c>
      <c r="R53" s="61">
        <v>0</v>
      </c>
      <c r="S53" s="61">
        <v>0</v>
      </c>
      <c r="T53" s="61">
        <v>0</v>
      </c>
      <c r="U53" s="61">
        <v>0.13</v>
      </c>
      <c r="V53" s="61">
        <v>0</v>
      </c>
      <c r="W53" s="61">
        <v>0</v>
      </c>
      <c r="X53" s="61">
        <v>0</v>
      </c>
      <c r="Y53" s="61">
        <v>0.13</v>
      </c>
      <c r="Z53" s="16"/>
      <c r="AA53" s="61">
        <v>0</v>
      </c>
      <c r="AB53" s="60">
        <v>0.13</v>
      </c>
      <c r="AC53" s="34"/>
      <c r="AD53" s="61">
        <v>0</v>
      </c>
      <c r="AE53" s="60">
        <v>0.13</v>
      </c>
      <c r="AG53" s="48"/>
    </row>
    <row r="54" spans="1:33" ht="18" customHeight="1" x14ac:dyDescent="0.2">
      <c r="A54" s="30" t="s">
        <v>311</v>
      </c>
      <c r="B54" s="30" t="s">
        <v>17</v>
      </c>
      <c r="C54" s="4">
        <v>0</v>
      </c>
      <c r="D54" s="4">
        <v>0</v>
      </c>
      <c r="F54" s="51" t="s">
        <v>374</v>
      </c>
      <c r="G54" s="16"/>
      <c r="H54" s="61">
        <v>0</v>
      </c>
      <c r="I54" s="61">
        <v>0</v>
      </c>
      <c r="J54" s="61">
        <v>0</v>
      </c>
      <c r="K54" s="86">
        <v>0</v>
      </c>
      <c r="L54" s="86">
        <v>0</v>
      </c>
      <c r="M54" s="61">
        <v>0</v>
      </c>
      <c r="N54" s="61">
        <v>0</v>
      </c>
      <c r="O54" s="61">
        <v>0</v>
      </c>
      <c r="P54" s="61">
        <v>0</v>
      </c>
      <c r="Q54" s="61">
        <v>0</v>
      </c>
      <c r="R54" s="61">
        <v>0</v>
      </c>
      <c r="S54" s="61">
        <v>0</v>
      </c>
      <c r="T54" s="61">
        <v>0</v>
      </c>
      <c r="U54" s="61">
        <v>0</v>
      </c>
      <c r="V54" s="61">
        <v>0</v>
      </c>
      <c r="W54" s="61">
        <v>0</v>
      </c>
      <c r="X54" s="61">
        <v>0</v>
      </c>
      <c r="Y54" s="61">
        <v>0</v>
      </c>
      <c r="Z54" s="16"/>
      <c r="AA54" s="61">
        <v>0</v>
      </c>
      <c r="AB54" s="60">
        <v>0</v>
      </c>
      <c r="AD54" s="61">
        <v>0</v>
      </c>
      <c r="AE54" s="60">
        <v>0</v>
      </c>
    </row>
    <row r="55" spans="1:33" ht="18" customHeight="1" x14ac:dyDescent="0.2">
      <c r="A55" s="32"/>
      <c r="B55" s="32"/>
      <c r="C55" s="5">
        <v>0.30756849434899752</v>
      </c>
      <c r="D55" s="5">
        <v>0.61686731349579793</v>
      </c>
      <c r="F55" s="118" t="s">
        <v>375</v>
      </c>
      <c r="G55" s="16"/>
      <c r="H55" s="120">
        <v>179.90899999999999</v>
      </c>
      <c r="I55" s="120">
        <v>138.09200000000001</v>
      </c>
      <c r="J55" s="120">
        <v>138.09200000000001</v>
      </c>
      <c r="K55" s="121">
        <v>114.316</v>
      </c>
      <c r="L55" s="121">
        <v>92.450999999999993</v>
      </c>
      <c r="M55" s="120">
        <v>4.7699999999999996</v>
      </c>
      <c r="N55" s="120">
        <v>4.6230000000000011</v>
      </c>
      <c r="O55" s="120">
        <v>11.544999999999998</v>
      </c>
      <c r="P55" s="120">
        <v>6.8010000000000019</v>
      </c>
      <c r="Q55" s="120">
        <v>5.6799999999999988</v>
      </c>
      <c r="R55" s="120">
        <v>28.587000000000003</v>
      </c>
      <c r="S55" s="120">
        <v>4.0999999999999943</v>
      </c>
      <c r="T55" s="120">
        <v>12.318000000000001</v>
      </c>
      <c r="U55" s="120">
        <v>14.49</v>
      </c>
      <c r="V55" s="120">
        <v>6.1030000000000069</v>
      </c>
      <c r="W55" s="120">
        <v>28.507999999999992</v>
      </c>
      <c r="X55" s="120">
        <v>21.952000000000002</v>
      </c>
      <c r="Y55" s="120">
        <v>149.477</v>
      </c>
      <c r="Z55" s="16"/>
      <c r="AA55" s="120">
        <v>114.31599999999999</v>
      </c>
      <c r="AB55" s="60">
        <v>35.159999999999997</v>
      </c>
      <c r="AC55" s="253"/>
      <c r="AD55" s="120">
        <v>92.450999999999979</v>
      </c>
      <c r="AE55" s="60">
        <v>57.03</v>
      </c>
    </row>
    <row r="56" spans="1:33" ht="8.25" customHeight="1" x14ac:dyDescent="0.2">
      <c r="A56" s="116"/>
      <c r="F56" s="8"/>
      <c r="G56" s="16"/>
      <c r="K56" s="8"/>
      <c r="L56" s="8"/>
      <c r="Z56" s="16"/>
      <c r="AB56" s="8"/>
      <c r="AE56" s="8"/>
    </row>
    <row r="57" spans="1:33" ht="18" customHeight="1" x14ac:dyDescent="0.2">
      <c r="A57" s="30" t="s">
        <v>313</v>
      </c>
      <c r="B57" s="30" t="s">
        <v>17</v>
      </c>
      <c r="C57" s="4">
        <v>0.99790648988136765</v>
      </c>
      <c r="D57" s="4">
        <v>0.99790648988136765</v>
      </c>
      <c r="F57" s="51" t="s">
        <v>312</v>
      </c>
      <c r="G57" s="16"/>
      <c r="H57" s="61">
        <v>6.6749999999999998</v>
      </c>
      <c r="I57" s="61">
        <v>1.0509999999999999</v>
      </c>
      <c r="J57" s="61">
        <v>1.0509999999999999</v>
      </c>
      <c r="K57" s="86">
        <v>0</v>
      </c>
      <c r="L57" s="86">
        <v>0</v>
      </c>
      <c r="M57" s="61">
        <v>0</v>
      </c>
      <c r="N57" s="61">
        <v>0</v>
      </c>
      <c r="O57" s="61">
        <v>0</v>
      </c>
      <c r="P57" s="61">
        <v>1.4330000000000001</v>
      </c>
      <c r="Q57" s="61">
        <v>0</v>
      </c>
      <c r="R57" s="61">
        <v>0</v>
      </c>
      <c r="S57" s="61">
        <v>0</v>
      </c>
      <c r="T57" s="61">
        <v>0</v>
      </c>
      <c r="U57" s="61">
        <v>0</v>
      </c>
      <c r="V57" s="61">
        <v>0</v>
      </c>
      <c r="W57" s="61">
        <v>0</v>
      </c>
      <c r="X57" s="61">
        <v>0</v>
      </c>
      <c r="Y57" s="61">
        <v>1.4330000000000001</v>
      </c>
      <c r="Z57" s="16"/>
      <c r="AA57" s="61">
        <v>0</v>
      </c>
      <c r="AB57" s="60">
        <v>1.43</v>
      </c>
      <c r="AD57" s="61">
        <v>0</v>
      </c>
      <c r="AE57" s="60">
        <v>1.43</v>
      </c>
    </row>
    <row r="58" spans="1:33" ht="8.25" customHeight="1" x14ac:dyDescent="0.2">
      <c r="A58" s="116"/>
      <c r="F58" s="8"/>
      <c r="G58" s="16"/>
      <c r="K58" s="8"/>
      <c r="L58" s="8"/>
      <c r="Z58" s="16"/>
      <c r="AB58" s="8"/>
      <c r="AE58" s="8"/>
    </row>
    <row r="59" spans="1:33" s="7" customFormat="1" ht="18" customHeight="1" x14ac:dyDescent="0.2">
      <c r="A59" s="30" t="s">
        <v>299</v>
      </c>
      <c r="B59" s="30" t="s">
        <v>17</v>
      </c>
      <c r="C59" s="4">
        <v>-9.232865988298225E-2</v>
      </c>
      <c r="D59" s="4">
        <v>0.12131900786321487</v>
      </c>
      <c r="E59" s="8"/>
      <c r="F59" s="45" t="s">
        <v>376</v>
      </c>
      <c r="G59" s="16"/>
      <c r="H59" s="62">
        <v>3052.8980000000001</v>
      </c>
      <c r="I59" s="62">
        <v>2400.5729999999999</v>
      </c>
      <c r="J59" s="62">
        <v>2400.5729999999999</v>
      </c>
      <c r="K59" s="108">
        <v>2534.3159999999998</v>
      </c>
      <c r="L59" s="108">
        <v>2051.451</v>
      </c>
      <c r="M59" s="62">
        <v>165.191</v>
      </c>
      <c r="N59" s="62">
        <v>203.36299999999997</v>
      </c>
      <c r="O59" s="62">
        <v>195.62400000000002</v>
      </c>
      <c r="P59" s="62">
        <v>213.399</v>
      </c>
      <c r="Q59" s="62">
        <v>127.12699999999995</v>
      </c>
      <c r="R59" s="62">
        <v>232.64400000000001</v>
      </c>
      <c r="S59" s="62">
        <v>121.6690000000001</v>
      </c>
      <c r="T59" s="62">
        <v>154.82199999999989</v>
      </c>
      <c r="U59" s="62">
        <v>183.29500000000007</v>
      </c>
      <c r="V59" s="62">
        <v>149.64300000000003</v>
      </c>
      <c r="W59" s="62">
        <v>263.80899999999997</v>
      </c>
      <c r="X59" s="62">
        <v>289.74</v>
      </c>
      <c r="Y59" s="62">
        <v>2300.326</v>
      </c>
      <c r="Z59" s="16"/>
      <c r="AA59" s="62">
        <v>2534.3159999999998</v>
      </c>
      <c r="AB59" s="60">
        <v>-233.99</v>
      </c>
      <c r="AD59" s="62">
        <v>2051.451</v>
      </c>
      <c r="AE59" s="60">
        <v>248.88</v>
      </c>
    </row>
    <row r="60" spans="1:33" ht="8.25" customHeight="1" x14ac:dyDescent="0.2">
      <c r="A60" s="116"/>
      <c r="F60" s="8"/>
      <c r="G60" s="16"/>
      <c r="K60" s="8"/>
      <c r="L60" s="8"/>
      <c r="Z60" s="16"/>
      <c r="AB60" s="8"/>
      <c r="AE60" s="8"/>
    </row>
    <row r="61" spans="1:33" ht="18" customHeight="1" x14ac:dyDescent="0.2">
      <c r="A61" s="35"/>
      <c r="B61" s="32"/>
      <c r="C61" s="4">
        <v>4.3790744623627746E-2</v>
      </c>
      <c r="D61" s="4">
        <v>1.6744963699840843E-2</v>
      </c>
      <c r="F61" s="95" t="s">
        <v>234</v>
      </c>
      <c r="G61" s="16"/>
      <c r="H61" s="64">
        <v>23774.425999999999</v>
      </c>
      <c r="I61" s="64">
        <v>24403.262999999999</v>
      </c>
      <c r="J61" s="64">
        <v>24403.262999999999</v>
      </c>
      <c r="K61" s="89">
        <v>23760.956999999999</v>
      </c>
      <c r="L61" s="89">
        <v>24393.006000000001</v>
      </c>
      <c r="M61" s="64">
        <v>1907.463</v>
      </c>
      <c r="N61" s="64">
        <v>1949.249</v>
      </c>
      <c r="O61" s="64">
        <v>1953.8489999999999</v>
      </c>
      <c r="P61" s="64">
        <v>2161.86</v>
      </c>
      <c r="Q61" s="64">
        <v>2168.0450000000005</v>
      </c>
      <c r="R61" s="64">
        <v>2127.1549999999988</v>
      </c>
      <c r="S61" s="64">
        <v>1976.5510000000015</v>
      </c>
      <c r="T61" s="64">
        <v>2044.0329999999992</v>
      </c>
      <c r="U61" s="64">
        <v>2062.0040000000008</v>
      </c>
      <c r="V61" s="64">
        <v>2080.8189999999995</v>
      </c>
      <c r="W61" s="64">
        <v>2164.5610000000006</v>
      </c>
      <c r="X61" s="64">
        <v>2205.8729999999978</v>
      </c>
      <c r="Y61" s="64">
        <v>24801.462</v>
      </c>
      <c r="Z61" s="16"/>
      <c r="AA61" s="64">
        <v>23760.956999999999</v>
      </c>
      <c r="AB61" s="60">
        <v>1040.51</v>
      </c>
      <c r="AD61" s="64">
        <v>24393.006000000005</v>
      </c>
      <c r="AE61" s="60">
        <v>408.46</v>
      </c>
    </row>
    <row r="62" spans="1:33" ht="6.95" customHeight="1" x14ac:dyDescent="0.2">
      <c r="C62" s="4"/>
      <c r="D62" s="4"/>
      <c r="F62" s="96"/>
      <c r="G62" s="16"/>
      <c r="H62" s="16"/>
      <c r="I62" s="16"/>
      <c r="J62" s="16"/>
      <c r="K62" s="85"/>
      <c r="L62" s="85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20"/>
      <c r="AD62" s="16"/>
      <c r="AE62" s="20"/>
    </row>
    <row r="63" spans="1:33" s="36" customFormat="1" ht="18" customHeight="1" x14ac:dyDescent="0.2">
      <c r="A63" s="30" t="s">
        <v>21</v>
      </c>
      <c r="B63" s="30" t="s">
        <v>17</v>
      </c>
      <c r="C63" s="4">
        <v>-5.7414285714285711</v>
      </c>
      <c r="D63" s="4">
        <v>7.8055555555555559E-2</v>
      </c>
      <c r="E63" s="8"/>
      <c r="F63" s="104" t="s">
        <v>24</v>
      </c>
      <c r="G63" s="16"/>
      <c r="H63" s="65">
        <v>-177.12899999999999</v>
      </c>
      <c r="I63" s="65">
        <v>-223.32400000000001</v>
      </c>
      <c r="J63" s="65">
        <v>-223.32400000000001</v>
      </c>
      <c r="K63" s="65">
        <v>35</v>
      </c>
      <c r="L63" s="65">
        <v>-180</v>
      </c>
      <c r="M63" s="65">
        <v>-71.061999999999998</v>
      </c>
      <c r="N63" s="65">
        <v>-73.963000000000008</v>
      </c>
      <c r="O63" s="65">
        <v>-6.4249999999999829</v>
      </c>
      <c r="P63" s="65">
        <v>-1.2090000000000032</v>
      </c>
      <c r="Q63" s="65">
        <v>-3.8780000000000143</v>
      </c>
      <c r="R63" s="65">
        <v>40.679000000000002</v>
      </c>
      <c r="S63" s="65">
        <v>-68.182999999999993</v>
      </c>
      <c r="T63" s="65">
        <v>-116.13799999999998</v>
      </c>
      <c r="U63" s="65">
        <v>5.75</v>
      </c>
      <c r="V63" s="65">
        <v>59.633999999999986</v>
      </c>
      <c r="W63" s="65">
        <v>31.123999999999995</v>
      </c>
      <c r="X63" s="65">
        <v>37.72199999999998</v>
      </c>
      <c r="Y63" s="65">
        <v>-165.94900000000001</v>
      </c>
      <c r="AA63" s="65">
        <v>35</v>
      </c>
      <c r="AB63" s="60">
        <v>-200.95</v>
      </c>
      <c r="AD63" s="65">
        <v>-180</v>
      </c>
      <c r="AE63" s="60">
        <v>14.05</v>
      </c>
    </row>
    <row r="64" spans="1:33" s="36" customFormat="1" ht="18" hidden="1" customHeight="1" outlineLevel="1" x14ac:dyDescent="0.2">
      <c r="A64" s="30" t="s">
        <v>119</v>
      </c>
      <c r="B64" s="30" t="s">
        <v>17</v>
      </c>
      <c r="C64" s="4">
        <v>-0.51</v>
      </c>
      <c r="D64" s="4">
        <v>0.13180968808394425</v>
      </c>
      <c r="E64" s="8"/>
      <c r="F64" s="38" t="s">
        <v>121</v>
      </c>
      <c r="G64" s="16"/>
      <c r="H64" s="66">
        <v>-21.844000000000001</v>
      </c>
      <c r="I64" s="66">
        <v>-48.195999999999998</v>
      </c>
      <c r="J64" s="66">
        <v>-48.195999999999998</v>
      </c>
      <c r="K64" s="66">
        <v>-40</v>
      </c>
      <c r="L64" s="66">
        <v>-69.569999999999993</v>
      </c>
      <c r="M64" s="66">
        <v>1.0549999999999999</v>
      </c>
      <c r="N64" s="66">
        <v>-0.97499999999999998</v>
      </c>
      <c r="O64" s="66">
        <v>-40.4</v>
      </c>
      <c r="P64" s="66">
        <v>0</v>
      </c>
      <c r="Q64" s="66">
        <v>-6.7000000000000028</v>
      </c>
      <c r="R64" s="66">
        <v>-21.131999999999998</v>
      </c>
      <c r="S64" s="66">
        <v>0</v>
      </c>
      <c r="T64" s="66">
        <v>2.5550000000000068</v>
      </c>
      <c r="U64" s="66">
        <v>4.2249999999999943</v>
      </c>
      <c r="V64" s="66">
        <v>0</v>
      </c>
      <c r="W64" s="66">
        <v>0.97500000000000142</v>
      </c>
      <c r="X64" s="66">
        <v>0</v>
      </c>
      <c r="Y64" s="66">
        <v>-60.396999999999998</v>
      </c>
      <c r="Z64" s="34"/>
      <c r="AA64" s="66">
        <v>-40</v>
      </c>
      <c r="AB64" s="60">
        <v>-20.399999999999999</v>
      </c>
      <c r="AC64" s="34"/>
      <c r="AD64" s="66">
        <v>-69.569999999999993</v>
      </c>
      <c r="AE64" s="60">
        <v>9.17</v>
      </c>
    </row>
    <row r="65" spans="1:39" s="36" customFormat="1" ht="18" hidden="1" customHeight="1" outlineLevel="1" x14ac:dyDescent="0.2">
      <c r="A65" s="30" t="s">
        <v>120</v>
      </c>
      <c r="B65" s="30" t="s">
        <v>17</v>
      </c>
      <c r="C65" s="4">
        <v>4.9763999999999999</v>
      </c>
      <c r="D65" s="4">
        <v>-6.3053722902921785E-2</v>
      </c>
      <c r="E65" s="8"/>
      <c r="F65" s="38" t="s">
        <v>122</v>
      </c>
      <c r="G65" s="16"/>
      <c r="H65" s="66">
        <v>-123.922</v>
      </c>
      <c r="I65" s="66">
        <v>-123.992</v>
      </c>
      <c r="J65" s="66">
        <v>-123.992</v>
      </c>
      <c r="K65" s="66">
        <v>-25</v>
      </c>
      <c r="L65" s="66">
        <v>106.1</v>
      </c>
      <c r="M65" s="66">
        <v>37.831000000000003</v>
      </c>
      <c r="N65" s="66">
        <v>-30.335000000000001</v>
      </c>
      <c r="O65" s="66">
        <v>47.211999999999996</v>
      </c>
      <c r="P65" s="66">
        <v>-2.3039999999999949</v>
      </c>
      <c r="Q65" s="66">
        <v>40.362000000000002</v>
      </c>
      <c r="R65" s="66">
        <v>26.720999999999989</v>
      </c>
      <c r="S65" s="66">
        <v>-2.5249999999999915</v>
      </c>
      <c r="T65" s="66">
        <v>1.9429999999999978</v>
      </c>
      <c r="U65" s="66">
        <v>10.209000000000003</v>
      </c>
      <c r="V65" s="66">
        <v>-11.238</v>
      </c>
      <c r="W65" s="66">
        <v>-19.422000000000011</v>
      </c>
      <c r="X65" s="66">
        <v>0.95800000000001262</v>
      </c>
      <c r="Y65" s="66">
        <v>99.412000000000006</v>
      </c>
      <c r="Z65" s="34"/>
      <c r="AA65" s="66">
        <v>-25</v>
      </c>
      <c r="AB65" s="60">
        <v>124.41</v>
      </c>
      <c r="AC65" s="34"/>
      <c r="AD65" s="66">
        <v>106.09999999999998</v>
      </c>
      <c r="AE65" s="60">
        <v>-6.69</v>
      </c>
    </row>
    <row r="66" spans="1:39" s="36" customFormat="1" ht="18" customHeight="1" collapsed="1" x14ac:dyDescent="0.2">
      <c r="A66" s="35"/>
      <c r="B66" s="35"/>
      <c r="C66" s="4">
        <v>1.6003076923076922</v>
      </c>
      <c r="D66" s="4">
        <v>6.8163153572406252E-2</v>
      </c>
      <c r="E66" s="8"/>
      <c r="F66" s="104" t="s">
        <v>0</v>
      </c>
      <c r="G66" s="16"/>
      <c r="H66" s="65">
        <v>-145.76599999999999</v>
      </c>
      <c r="I66" s="65">
        <v>-172.18799999999999</v>
      </c>
      <c r="J66" s="65">
        <v>-172.18799999999999</v>
      </c>
      <c r="K66" s="65">
        <v>-65</v>
      </c>
      <c r="L66" s="65">
        <v>36.53</v>
      </c>
      <c r="M66" s="65">
        <v>38.886000000000003</v>
      </c>
      <c r="N66" s="65">
        <v>-31.310000000000002</v>
      </c>
      <c r="O66" s="65">
        <v>6.8119999999999976</v>
      </c>
      <c r="P66" s="65">
        <v>-2.3039999999999949</v>
      </c>
      <c r="Q66" s="65">
        <v>33.661999999999999</v>
      </c>
      <c r="R66" s="65">
        <v>5.5889999999999915</v>
      </c>
      <c r="S66" s="65">
        <v>-2.5249999999999915</v>
      </c>
      <c r="T66" s="65">
        <v>4.4980000000000047</v>
      </c>
      <c r="U66" s="65">
        <v>14.433999999999997</v>
      </c>
      <c r="V66" s="65">
        <v>-11.238</v>
      </c>
      <c r="W66" s="65">
        <v>-18.44700000000001</v>
      </c>
      <c r="X66" s="65">
        <v>0.95800000000001262</v>
      </c>
      <c r="Y66" s="65">
        <v>39.015000000000008</v>
      </c>
      <c r="AA66" s="65">
        <v>-65</v>
      </c>
      <c r="AB66" s="60">
        <v>104.02</v>
      </c>
      <c r="AD66" s="65">
        <v>36.53</v>
      </c>
      <c r="AE66" s="60">
        <v>2.4900000000000002</v>
      </c>
    </row>
    <row r="67" spans="1:39" s="36" customFormat="1" ht="18" hidden="1" customHeight="1" outlineLevel="1" x14ac:dyDescent="0.2">
      <c r="A67" s="30" t="s">
        <v>131</v>
      </c>
      <c r="B67" s="30" t="s">
        <v>17</v>
      </c>
      <c r="C67" s="4">
        <v>0</v>
      </c>
      <c r="D67" s="4">
        <v>0</v>
      </c>
      <c r="E67" s="8"/>
      <c r="F67" s="38" t="s">
        <v>132</v>
      </c>
      <c r="G67" s="16"/>
      <c r="H67" s="66">
        <v>0</v>
      </c>
      <c r="I67" s="66">
        <v>0</v>
      </c>
      <c r="J67" s="66">
        <v>0</v>
      </c>
      <c r="K67" s="86">
        <v>0</v>
      </c>
      <c r="L67" s="8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34"/>
      <c r="AA67" s="66">
        <v>0</v>
      </c>
      <c r="AB67" s="60">
        <v>0</v>
      </c>
      <c r="AC67" s="34"/>
      <c r="AD67" s="66">
        <v>0</v>
      </c>
      <c r="AE67" s="60">
        <v>0</v>
      </c>
    </row>
    <row r="68" spans="1:39" s="36" customFormat="1" ht="18" hidden="1" customHeight="1" outlineLevel="1" x14ac:dyDescent="0.2">
      <c r="A68" s="30" t="s">
        <v>134</v>
      </c>
      <c r="B68" s="30" t="s">
        <v>17</v>
      </c>
      <c r="C68" s="4">
        <v>0</v>
      </c>
      <c r="D68" s="4">
        <v>0</v>
      </c>
      <c r="E68" s="8"/>
      <c r="F68" s="38" t="s">
        <v>133</v>
      </c>
      <c r="G68" s="16"/>
      <c r="H68" s="66">
        <v>0</v>
      </c>
      <c r="I68" s="66">
        <v>0</v>
      </c>
      <c r="J68" s="66">
        <v>0</v>
      </c>
      <c r="K68" s="86">
        <v>0</v>
      </c>
      <c r="L68" s="8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34"/>
      <c r="AA68" s="66">
        <v>0</v>
      </c>
      <c r="AB68" s="60">
        <v>0</v>
      </c>
      <c r="AC68" s="34"/>
      <c r="AD68" s="66">
        <v>0</v>
      </c>
      <c r="AE68" s="60">
        <v>0</v>
      </c>
    </row>
    <row r="69" spans="1:39" s="36" customFormat="1" ht="18" hidden="1" customHeight="1" outlineLevel="1" x14ac:dyDescent="0.2">
      <c r="A69" s="30" t="s">
        <v>135</v>
      </c>
      <c r="B69" s="30" t="s">
        <v>17</v>
      </c>
      <c r="C69" s="4">
        <v>0</v>
      </c>
      <c r="D69" s="4">
        <v>0</v>
      </c>
      <c r="E69" s="8"/>
      <c r="F69" s="38" t="s">
        <v>136</v>
      </c>
      <c r="G69" s="16"/>
      <c r="H69" s="66">
        <v>0</v>
      </c>
      <c r="I69" s="66">
        <v>50.5</v>
      </c>
      <c r="J69" s="66">
        <v>50.5</v>
      </c>
      <c r="K69" s="86">
        <v>0</v>
      </c>
      <c r="L69" s="8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34"/>
      <c r="AA69" s="66">
        <v>0</v>
      </c>
      <c r="AB69" s="60">
        <v>0</v>
      </c>
      <c r="AC69" s="34"/>
      <c r="AD69" s="66">
        <v>0</v>
      </c>
      <c r="AE69" s="60">
        <v>0</v>
      </c>
    </row>
    <row r="70" spans="1:39" s="36" customFormat="1" ht="18" hidden="1" customHeight="1" outlineLevel="1" x14ac:dyDescent="0.2">
      <c r="A70" s="30" t="s">
        <v>137</v>
      </c>
      <c r="B70" s="30" t="s">
        <v>17</v>
      </c>
      <c r="C70" s="4">
        <v>1.0034602076124568</v>
      </c>
      <c r="D70" s="4">
        <v>1.0034602076124568</v>
      </c>
      <c r="E70" s="8"/>
      <c r="F70" s="38" t="s">
        <v>138</v>
      </c>
      <c r="G70" s="16"/>
      <c r="H70" s="66">
        <v>0</v>
      </c>
      <c r="I70" s="66">
        <v>3.5000000000000003E-2</v>
      </c>
      <c r="J70" s="66">
        <v>3.5000000000000003E-2</v>
      </c>
      <c r="K70" s="86">
        <v>0</v>
      </c>
      <c r="L70" s="86">
        <v>0</v>
      </c>
      <c r="M70" s="66">
        <v>0</v>
      </c>
      <c r="N70" s="66">
        <v>0</v>
      </c>
      <c r="O70" s="66">
        <v>8.3000000000000004E-2</v>
      </c>
      <c r="P70" s="66">
        <v>0</v>
      </c>
      <c r="Q70" s="66">
        <v>0</v>
      </c>
      <c r="R70" s="66">
        <v>0.16499999999999998</v>
      </c>
      <c r="S70" s="66">
        <v>0</v>
      </c>
      <c r="T70" s="66">
        <v>0</v>
      </c>
      <c r="U70" s="66">
        <v>0</v>
      </c>
      <c r="V70" s="66">
        <v>8.2000000000000017E-2</v>
      </c>
      <c r="W70" s="66">
        <v>0.24799999999999994</v>
      </c>
      <c r="X70" s="66">
        <v>0</v>
      </c>
      <c r="Y70" s="66">
        <v>0.57799999999999996</v>
      </c>
      <c r="Z70" s="34"/>
      <c r="AA70" s="66">
        <v>0</v>
      </c>
      <c r="AB70" s="60">
        <v>0.57999999999999996</v>
      </c>
      <c r="AC70" s="34"/>
      <c r="AD70" s="66">
        <v>0</v>
      </c>
      <c r="AE70" s="60">
        <v>0.57999999999999996</v>
      </c>
    </row>
    <row r="71" spans="1:39" s="37" customFormat="1" ht="18" customHeight="1" collapsed="1" x14ac:dyDescent="0.2">
      <c r="A71" s="35"/>
      <c r="B71" s="35"/>
      <c r="C71" s="4">
        <v>1.0034602076124568</v>
      </c>
      <c r="D71" s="4">
        <v>1.0034602076124568</v>
      </c>
      <c r="E71" s="8"/>
      <c r="F71" s="105" t="s">
        <v>274</v>
      </c>
      <c r="G71" s="16"/>
      <c r="H71" s="67">
        <v>0</v>
      </c>
      <c r="I71" s="67">
        <v>50.534999999999997</v>
      </c>
      <c r="J71" s="67">
        <v>50.534999999999997</v>
      </c>
      <c r="K71" s="67">
        <v>0</v>
      </c>
      <c r="L71" s="67">
        <v>0</v>
      </c>
      <c r="M71" s="67">
        <v>0</v>
      </c>
      <c r="N71" s="67">
        <v>0</v>
      </c>
      <c r="O71" s="67">
        <v>8.3000000000000004E-2</v>
      </c>
      <c r="P71" s="67">
        <v>0</v>
      </c>
      <c r="Q71" s="67">
        <v>0</v>
      </c>
      <c r="R71" s="67">
        <v>0.16499999999999998</v>
      </c>
      <c r="S71" s="67">
        <v>0</v>
      </c>
      <c r="T71" s="67">
        <v>0</v>
      </c>
      <c r="U71" s="67">
        <v>0</v>
      </c>
      <c r="V71" s="67">
        <v>8.2000000000000017E-2</v>
      </c>
      <c r="W71" s="67">
        <v>0.24799999999999994</v>
      </c>
      <c r="X71" s="67">
        <v>0</v>
      </c>
      <c r="Y71" s="67">
        <v>0.57799999999999996</v>
      </c>
      <c r="AA71" s="67">
        <v>0</v>
      </c>
      <c r="AB71" s="60">
        <v>0.57999999999999996</v>
      </c>
      <c r="AD71" s="67">
        <v>0</v>
      </c>
      <c r="AE71" s="60">
        <v>0.57999999999999996</v>
      </c>
    </row>
    <row r="72" spans="1:39" ht="6.95" customHeight="1" x14ac:dyDescent="0.2">
      <c r="C72" s="4"/>
      <c r="D72" s="4"/>
      <c r="F72" s="96"/>
      <c r="G72" s="16"/>
      <c r="H72" s="16"/>
      <c r="I72" s="16"/>
      <c r="J72" s="16"/>
      <c r="K72" s="85"/>
      <c r="L72" s="8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AA72" s="16"/>
      <c r="AB72" s="20"/>
      <c r="AD72" s="16"/>
      <c r="AE72" s="20"/>
    </row>
    <row r="73" spans="1:39" s="7" customFormat="1" ht="18" customHeight="1" x14ac:dyDescent="0.2">
      <c r="A73" s="276" t="s">
        <v>299</v>
      </c>
      <c r="B73" s="276" t="s">
        <v>17</v>
      </c>
      <c r="C73" s="252">
        <v>3.9785584711143337E-2</v>
      </c>
      <c r="D73" s="252">
        <v>1.7549614145194362E-2</v>
      </c>
      <c r="E73" s="253"/>
      <c r="F73" s="277" t="s">
        <v>448</v>
      </c>
      <c r="G73" s="16"/>
      <c r="H73" s="62">
        <v>23451.530999999999</v>
      </c>
      <c r="I73" s="62">
        <v>24058.286</v>
      </c>
      <c r="J73" s="62">
        <v>24058.286</v>
      </c>
      <c r="K73" s="108">
        <v>23730.956999999999</v>
      </c>
      <c r="L73" s="108">
        <v>24249.536</v>
      </c>
      <c r="M73" s="62">
        <v>1875.287</v>
      </c>
      <c r="N73" s="62">
        <v>1843.9760000000001</v>
      </c>
      <c r="O73" s="62">
        <v>1954.319</v>
      </c>
      <c r="P73" s="62">
        <v>2158.3470000000002</v>
      </c>
      <c r="Q73" s="62">
        <v>2197.8290000000002</v>
      </c>
      <c r="R73" s="62">
        <v>2173.5879999999988</v>
      </c>
      <c r="S73" s="62">
        <v>1905.8430000000014</v>
      </c>
      <c r="T73" s="62">
        <v>1932.3929999999993</v>
      </c>
      <c r="U73" s="62">
        <v>2082.188000000001</v>
      </c>
      <c r="V73" s="62">
        <v>2129.2969999999996</v>
      </c>
      <c r="W73" s="62">
        <v>2177.4860000000003</v>
      </c>
      <c r="X73" s="62">
        <v>2244.5529999999976</v>
      </c>
      <c r="Y73" s="62">
        <v>24675.106</v>
      </c>
      <c r="Z73" s="16"/>
      <c r="AA73" s="62">
        <v>23730.956999999999</v>
      </c>
      <c r="AB73" s="256">
        <v>944.15</v>
      </c>
      <c r="AD73" s="62">
        <v>24249.536000000004</v>
      </c>
      <c r="AE73" s="256">
        <v>425.57</v>
      </c>
    </row>
    <row r="74" spans="1:39" s="253" customFormat="1" ht="8.25" customHeight="1" x14ac:dyDescent="0.2">
      <c r="A74" s="116"/>
      <c r="G74" s="16"/>
      <c r="Z74" s="16"/>
      <c r="AM74" s="251"/>
    </row>
    <row r="75" spans="1:39" ht="18" customHeight="1" x14ac:dyDescent="0.2">
      <c r="A75" s="30" t="s">
        <v>206</v>
      </c>
      <c r="B75" s="30" t="s">
        <v>38</v>
      </c>
      <c r="C75" s="4">
        <v>-6.355667852018217E-3</v>
      </c>
      <c r="D75" s="4">
        <v>4.0628429327307702E-2</v>
      </c>
      <c r="F75" s="106" t="s">
        <v>377</v>
      </c>
      <c r="H75" s="61">
        <v>-2924.8159999999998</v>
      </c>
      <c r="I75" s="61">
        <v>-2332.5749999999998</v>
      </c>
      <c r="J75" s="61">
        <v>-2332.5749999999998</v>
      </c>
      <c r="K75" s="86">
        <v>-2308.1759999999999</v>
      </c>
      <c r="L75" s="86">
        <v>-2421.2109999999998</v>
      </c>
      <c r="M75" s="61">
        <v>-199.60900000000001</v>
      </c>
      <c r="N75" s="61">
        <v>-220.131</v>
      </c>
      <c r="O75" s="61">
        <v>-241.85199999999998</v>
      </c>
      <c r="P75" s="61">
        <v>-181.74099999999999</v>
      </c>
      <c r="Q75" s="61">
        <v>-164.23800000000006</v>
      </c>
      <c r="R75" s="61">
        <v>-211.56799999999987</v>
      </c>
      <c r="S75" s="61">
        <v>-144.47300000000018</v>
      </c>
      <c r="T75" s="61">
        <v>-154.8889999999999</v>
      </c>
      <c r="U75" s="61">
        <v>-185.88900000000012</v>
      </c>
      <c r="V75" s="61">
        <v>-232.96799999999985</v>
      </c>
      <c r="W75" s="61">
        <v>-217.87000000000012</v>
      </c>
      <c r="X75" s="61">
        <v>-167.61699999999973</v>
      </c>
      <c r="Y75" s="61">
        <v>-2322.8449999999998</v>
      </c>
      <c r="AA75" s="61">
        <v>-2308.1759999999999</v>
      </c>
      <c r="AB75" s="60">
        <v>-14.67</v>
      </c>
      <c r="AD75" s="61">
        <v>-2421.2109999999998</v>
      </c>
      <c r="AE75" s="60">
        <v>98.37</v>
      </c>
    </row>
    <row r="76" spans="1:39" ht="18" customHeight="1" x14ac:dyDescent="0.2">
      <c r="A76" s="30" t="s">
        <v>42</v>
      </c>
      <c r="B76" s="30" t="s">
        <v>17</v>
      </c>
      <c r="C76" s="4">
        <v>0</v>
      </c>
      <c r="D76" s="4">
        <v>0</v>
      </c>
      <c r="F76" s="106" t="s">
        <v>207</v>
      </c>
      <c r="H76" s="61">
        <v>0</v>
      </c>
      <c r="I76" s="61">
        <v>0</v>
      </c>
      <c r="J76" s="61">
        <v>0</v>
      </c>
      <c r="K76" s="86">
        <v>0</v>
      </c>
      <c r="L76" s="86">
        <v>0</v>
      </c>
      <c r="M76" s="61">
        <v>0</v>
      </c>
      <c r="N76" s="61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AA76" s="61">
        <v>0</v>
      </c>
      <c r="AB76" s="60">
        <v>0</v>
      </c>
      <c r="AD76" s="61">
        <v>0</v>
      </c>
      <c r="AE76" s="60">
        <v>0</v>
      </c>
    </row>
    <row r="77" spans="1:39" ht="18" customHeight="1" collapsed="1" x14ac:dyDescent="0.2">
      <c r="A77" s="35"/>
      <c r="B77" s="35"/>
      <c r="C77" s="4">
        <v>-6.355667852018217E-3</v>
      </c>
      <c r="D77" s="4">
        <v>4.0628429327307702E-2</v>
      </c>
      <c r="F77" s="45" t="s">
        <v>41</v>
      </c>
      <c r="H77" s="62">
        <v>-2924.8159999999998</v>
      </c>
      <c r="I77" s="62">
        <v>-2332.5749999999998</v>
      </c>
      <c r="J77" s="62">
        <v>-2332.5749999999998</v>
      </c>
      <c r="K77" s="108">
        <v>-2308.1759999999999</v>
      </c>
      <c r="L77" s="108">
        <v>-2421.2109999999998</v>
      </c>
      <c r="M77" s="62">
        <v>-199.60900000000001</v>
      </c>
      <c r="N77" s="62">
        <v>-220.131</v>
      </c>
      <c r="O77" s="62">
        <v>-241.85199999999998</v>
      </c>
      <c r="P77" s="62">
        <v>-181.74099999999999</v>
      </c>
      <c r="Q77" s="62">
        <v>-164.23800000000006</v>
      </c>
      <c r="R77" s="62">
        <v>-211.56799999999987</v>
      </c>
      <c r="S77" s="62">
        <v>-144.47300000000018</v>
      </c>
      <c r="T77" s="62">
        <v>-154.8889999999999</v>
      </c>
      <c r="U77" s="62">
        <v>-185.88900000000012</v>
      </c>
      <c r="V77" s="62">
        <v>-232.96799999999985</v>
      </c>
      <c r="W77" s="62">
        <v>-217.87000000000012</v>
      </c>
      <c r="X77" s="62">
        <v>-167.61699999999973</v>
      </c>
      <c r="Y77" s="62">
        <v>-2322.8449999999998</v>
      </c>
      <c r="AA77" s="62">
        <v>-2308.1759999999999</v>
      </c>
      <c r="AB77" s="60">
        <v>-14.67</v>
      </c>
      <c r="AD77" s="62">
        <v>-2421.2109999999998</v>
      </c>
      <c r="AE77" s="60">
        <v>98.37</v>
      </c>
    </row>
    <row r="78" spans="1:39" ht="12.95" customHeight="1" x14ac:dyDescent="0.2">
      <c r="A78" s="35"/>
      <c r="B78" s="35"/>
      <c r="C78" s="4"/>
      <c r="D78" s="4"/>
      <c r="F78" s="39" t="s">
        <v>227</v>
      </c>
      <c r="H78" s="56">
        <v>0.16768337918687304</v>
      </c>
      <c r="I78" s="56">
        <v>0.12409389102092394</v>
      </c>
      <c r="J78" s="56">
        <v>0.12409389102092394</v>
      </c>
      <c r="K78" s="109">
        <v>0.1265930281957339</v>
      </c>
      <c r="L78" s="109">
        <v>0.12620626331963394</v>
      </c>
      <c r="M78" s="56">
        <v>0.1336387604559581</v>
      </c>
      <c r="N78" s="56">
        <v>0.1483435505924483</v>
      </c>
      <c r="O78" s="56">
        <v>0.15575279141985346</v>
      </c>
      <c r="P78" s="56">
        <v>0.11194594791037232</v>
      </c>
      <c r="Q78" s="56">
        <v>9.2984783350855957E-2</v>
      </c>
      <c r="R78" s="56">
        <v>0.1294917353904986</v>
      </c>
      <c r="S78" s="56">
        <v>9.0721847580162648E-2</v>
      </c>
      <c r="T78" s="56">
        <v>9.4911197497941052E-2</v>
      </c>
      <c r="U78" s="56">
        <v>0.11572654297699414</v>
      </c>
      <c r="V78" s="56">
        <v>0.13969234680600229</v>
      </c>
      <c r="W78" s="56">
        <v>0.13466879215933056</v>
      </c>
      <c r="X78" s="56">
        <v>0.10205713158433084</v>
      </c>
      <c r="Y78" s="56">
        <v>0.12027623438291662</v>
      </c>
      <c r="AA78" s="56">
        <v>0.1265930281957339</v>
      </c>
      <c r="AB78" s="57"/>
      <c r="AD78" s="56">
        <v>0.12620626331963394</v>
      </c>
      <c r="AE78" s="57"/>
    </row>
    <row r="79" spans="1:39" ht="18" customHeight="1" x14ac:dyDescent="0.2">
      <c r="A79" s="30" t="s">
        <v>39</v>
      </c>
      <c r="B79" s="30" t="s">
        <v>17</v>
      </c>
      <c r="C79" s="4">
        <v>-1.0837479099147451E-4</v>
      </c>
      <c r="D79" s="4">
        <v>1.6029449098756029E-2</v>
      </c>
      <c r="F79" s="45" t="s">
        <v>40</v>
      </c>
      <c r="H79" s="62">
        <v>-2142.4630000000002</v>
      </c>
      <c r="I79" s="62">
        <v>-2043.086</v>
      </c>
      <c r="J79" s="62">
        <v>-2043.086</v>
      </c>
      <c r="K79" s="108">
        <v>-1937.72</v>
      </c>
      <c r="L79" s="108">
        <v>-1969.5</v>
      </c>
      <c r="M79" s="62">
        <v>-162.203</v>
      </c>
      <c r="N79" s="62">
        <v>-151.88000000000002</v>
      </c>
      <c r="O79" s="62">
        <v>-193.04699999999997</v>
      </c>
      <c r="P79" s="62">
        <v>-186.596</v>
      </c>
      <c r="Q79" s="62">
        <v>-133.89300000000003</v>
      </c>
      <c r="R79" s="62">
        <v>-171.03399999999999</v>
      </c>
      <c r="S79" s="62">
        <v>-193.00700000000006</v>
      </c>
      <c r="T79" s="62">
        <v>-163.00199999999995</v>
      </c>
      <c r="U79" s="62">
        <v>-155.46499999999992</v>
      </c>
      <c r="V79" s="62">
        <v>-131.30300000000011</v>
      </c>
      <c r="W79" s="62">
        <v>-138.95000000000005</v>
      </c>
      <c r="X79" s="62">
        <v>-157.54899999999998</v>
      </c>
      <c r="Y79" s="62">
        <v>-1937.9290000000001</v>
      </c>
      <c r="AA79" s="62">
        <v>-1937.72</v>
      </c>
      <c r="AB79" s="60">
        <v>-0.21</v>
      </c>
      <c r="AD79" s="62">
        <v>-1969.5</v>
      </c>
      <c r="AE79" s="60">
        <v>31.57</v>
      </c>
    </row>
    <row r="80" spans="1:39" ht="12.95" customHeight="1" x14ac:dyDescent="0.2">
      <c r="A80" s="35"/>
      <c r="B80" s="35"/>
      <c r="C80" s="4"/>
      <c r="D80" s="4"/>
      <c r="F80" s="39" t="s">
        <v>228</v>
      </c>
      <c r="H80" s="56">
        <v>0.65336722464327213</v>
      </c>
      <c r="I80" s="56">
        <v>0.63734364603242988</v>
      </c>
      <c r="J80" s="56">
        <v>0.63734364603242988</v>
      </c>
      <c r="K80" s="109">
        <v>0.6474436980057322</v>
      </c>
      <c r="L80" s="109">
        <v>0.62385175799809944</v>
      </c>
      <c r="M80" s="56">
        <v>0.65239757708365176</v>
      </c>
      <c r="N80" s="56">
        <v>0.57978538626273601</v>
      </c>
      <c r="O80" s="56">
        <v>0.93971698526512515</v>
      </c>
      <c r="P80" s="56">
        <v>0.57415920489861205</v>
      </c>
      <c r="Q80" s="56">
        <v>0.48754137399910452</v>
      </c>
      <c r="R80" s="56">
        <v>0.65611465530138846</v>
      </c>
      <c r="S80" s="56">
        <v>0.73554777266681648</v>
      </c>
      <c r="T80" s="56">
        <v>0.63357108152754849</v>
      </c>
      <c r="U80" s="56">
        <v>0.57065825842139806</v>
      </c>
      <c r="V80" s="56">
        <v>0.49839061088463271</v>
      </c>
      <c r="W80" s="56">
        <v>0.49110913968423403</v>
      </c>
      <c r="X80" s="56">
        <v>0.57552356355639689</v>
      </c>
      <c r="Y80" s="56">
        <v>0.60777732581351218</v>
      </c>
      <c r="AA80" s="56">
        <v>0.6474436980057322</v>
      </c>
      <c r="AB80" s="57"/>
      <c r="AD80" s="56">
        <v>0.62385175799809944</v>
      </c>
      <c r="AE80" s="57"/>
    </row>
    <row r="81" spans="1:31" ht="18" hidden="1" customHeight="1" outlineLevel="1" x14ac:dyDescent="0.2">
      <c r="A81" s="30" t="s">
        <v>209</v>
      </c>
      <c r="B81" s="30" t="s">
        <v>17</v>
      </c>
      <c r="C81" s="4">
        <v>0</v>
      </c>
      <c r="D81" s="4">
        <v>0</v>
      </c>
      <c r="F81" s="106" t="s">
        <v>210</v>
      </c>
      <c r="H81" s="61">
        <v>0</v>
      </c>
      <c r="I81" s="61">
        <v>0</v>
      </c>
      <c r="J81" s="61">
        <v>0</v>
      </c>
      <c r="K81" s="86">
        <v>0</v>
      </c>
      <c r="L81" s="86">
        <v>0</v>
      </c>
      <c r="M81" s="61">
        <v>0</v>
      </c>
      <c r="N81" s="61">
        <v>0</v>
      </c>
      <c r="O81" s="61">
        <v>0</v>
      </c>
      <c r="P81" s="61">
        <v>0</v>
      </c>
      <c r="Q81" s="61">
        <v>0</v>
      </c>
      <c r="R81" s="61">
        <v>0</v>
      </c>
      <c r="S81" s="61">
        <v>0</v>
      </c>
      <c r="T81" s="61">
        <v>0</v>
      </c>
      <c r="U81" s="61">
        <v>0</v>
      </c>
      <c r="V81" s="61">
        <v>0</v>
      </c>
      <c r="W81" s="61">
        <v>0</v>
      </c>
      <c r="X81" s="61">
        <v>0</v>
      </c>
      <c r="Y81" s="61">
        <v>0</v>
      </c>
      <c r="AA81" s="61">
        <v>0</v>
      </c>
      <c r="AB81" s="60">
        <v>0</v>
      </c>
      <c r="AD81" s="61">
        <v>0</v>
      </c>
      <c r="AE81" s="60">
        <v>0</v>
      </c>
    </row>
    <row r="82" spans="1:31" ht="18" hidden="1" customHeight="1" outlineLevel="1" x14ac:dyDescent="0.2">
      <c r="A82" s="30" t="s">
        <v>206</v>
      </c>
      <c r="B82" s="30" t="s">
        <v>205</v>
      </c>
      <c r="C82" s="4">
        <v>0.19964705786383902</v>
      </c>
      <c r="D82" s="4">
        <v>-8.5657132951132281E-2</v>
      </c>
      <c r="F82" s="106" t="s">
        <v>208</v>
      </c>
      <c r="H82" s="61">
        <v>-882.69100000000003</v>
      </c>
      <c r="I82" s="61">
        <v>-959.68399999999997</v>
      </c>
      <c r="J82" s="61">
        <v>-959.68399999999997</v>
      </c>
      <c r="K82" s="86">
        <v>-1103.297</v>
      </c>
      <c r="L82" s="86">
        <v>-813.35900000000004</v>
      </c>
      <c r="M82" s="61">
        <v>-76.728999999999999</v>
      </c>
      <c r="N82" s="61">
        <v>-58.567999999999998</v>
      </c>
      <c r="O82" s="61">
        <v>-83.393000000000001</v>
      </c>
      <c r="P82" s="61">
        <v>-70.312000000000012</v>
      </c>
      <c r="Q82" s="61">
        <v>-84.495999999999981</v>
      </c>
      <c r="R82" s="61">
        <v>-91.076999999999998</v>
      </c>
      <c r="S82" s="61">
        <v>-59.732000000000028</v>
      </c>
      <c r="T82" s="61">
        <v>-48.83299999999997</v>
      </c>
      <c r="U82" s="61">
        <v>-81.104000000000042</v>
      </c>
      <c r="V82" s="61">
        <v>-80.206999999999994</v>
      </c>
      <c r="W82" s="61">
        <v>-80.410999999999945</v>
      </c>
      <c r="X82" s="61">
        <v>-68.162000000000035</v>
      </c>
      <c r="Y82" s="61">
        <v>-883.024</v>
      </c>
      <c r="AA82" s="61">
        <v>-1103.297</v>
      </c>
      <c r="AB82" s="60">
        <v>220.27</v>
      </c>
      <c r="AD82" s="61">
        <v>-813.35900000000004</v>
      </c>
      <c r="AE82" s="60">
        <v>-69.67</v>
      </c>
    </row>
    <row r="83" spans="1:31" ht="18" customHeight="1" collapsed="1" x14ac:dyDescent="0.2">
      <c r="A83" s="35"/>
      <c r="B83" s="35"/>
      <c r="C83" s="4">
        <v>0.19964705786383902</v>
      </c>
      <c r="D83" s="4">
        <v>-8.5657132951132281E-2</v>
      </c>
      <c r="F83" s="45" t="s">
        <v>314</v>
      </c>
      <c r="H83" s="62">
        <v>-882.69100000000003</v>
      </c>
      <c r="I83" s="62">
        <v>-959.68399999999997</v>
      </c>
      <c r="J83" s="62">
        <v>-959.68399999999997</v>
      </c>
      <c r="K83" s="108">
        <v>-1103.297</v>
      </c>
      <c r="L83" s="108">
        <v>-813.35900000000004</v>
      </c>
      <c r="M83" s="62">
        <v>-76.728999999999999</v>
      </c>
      <c r="N83" s="62">
        <v>-58.567999999999998</v>
      </c>
      <c r="O83" s="62">
        <v>-83.393000000000001</v>
      </c>
      <c r="P83" s="62">
        <v>-70.312000000000012</v>
      </c>
      <c r="Q83" s="62">
        <v>-84.495999999999981</v>
      </c>
      <c r="R83" s="62">
        <v>-91.076999999999998</v>
      </c>
      <c r="S83" s="62">
        <v>-59.732000000000028</v>
      </c>
      <c r="T83" s="62">
        <v>-48.83299999999997</v>
      </c>
      <c r="U83" s="62">
        <v>-81.104000000000042</v>
      </c>
      <c r="V83" s="62">
        <v>-80.206999999999994</v>
      </c>
      <c r="W83" s="62">
        <v>-80.410999999999945</v>
      </c>
      <c r="X83" s="62">
        <v>-68.162000000000035</v>
      </c>
      <c r="Y83" s="62">
        <v>-883.024</v>
      </c>
      <c r="AA83" s="62">
        <v>-1103.297</v>
      </c>
      <c r="AB83" s="60">
        <v>220.27</v>
      </c>
      <c r="AD83" s="62">
        <v>-813.35900000000004</v>
      </c>
      <c r="AE83" s="60">
        <v>-69.67</v>
      </c>
    </row>
    <row r="84" spans="1:31" ht="12.95" customHeight="1" x14ac:dyDescent="0.2">
      <c r="A84" s="35"/>
      <c r="B84" s="35"/>
      <c r="C84" s="4"/>
      <c r="D84" s="4"/>
      <c r="F84" s="39" t="s">
        <v>222</v>
      </c>
      <c r="H84" s="56">
        <v>0.28913216229300814</v>
      </c>
      <c r="I84" s="56">
        <v>0.39977288755642926</v>
      </c>
      <c r="J84" s="56">
        <v>0.39977288755642926</v>
      </c>
      <c r="K84" s="109">
        <v>0.4353431063845235</v>
      </c>
      <c r="L84" s="109">
        <v>0.39647985742774261</v>
      </c>
      <c r="M84" s="56">
        <v>0.46448656403799238</v>
      </c>
      <c r="N84" s="56">
        <v>0.28799732498045372</v>
      </c>
      <c r="O84" s="56">
        <v>0.42629227497648547</v>
      </c>
      <c r="P84" s="56">
        <v>0.32948608006597974</v>
      </c>
      <c r="Q84" s="56">
        <v>0.66465817646920022</v>
      </c>
      <c r="R84" s="56">
        <v>0.39148656316088098</v>
      </c>
      <c r="S84" s="56">
        <v>0.4909385299460009</v>
      </c>
      <c r="T84" s="56">
        <v>0.31541383007582907</v>
      </c>
      <c r="U84" s="56">
        <v>0.44247797266701222</v>
      </c>
      <c r="V84" s="56">
        <v>0.53598898712268517</v>
      </c>
      <c r="W84" s="56">
        <v>0.30480764492492657</v>
      </c>
      <c r="X84" s="56">
        <v>0.2352522951611791</v>
      </c>
      <c r="Y84" s="56">
        <v>0.38386906899282969</v>
      </c>
      <c r="AA84" s="56">
        <v>0.4353431063845235</v>
      </c>
      <c r="AB84" s="57"/>
      <c r="AD84" s="56">
        <v>0.39647985742774261</v>
      </c>
      <c r="AE84" s="57"/>
    </row>
    <row r="85" spans="1:31" ht="18" hidden="1" customHeight="1" outlineLevel="2" x14ac:dyDescent="0.2">
      <c r="A85" s="33" t="s">
        <v>43</v>
      </c>
      <c r="B85" s="33" t="s">
        <v>17</v>
      </c>
      <c r="C85" s="4"/>
      <c r="D85" s="4"/>
      <c r="F85" s="38" t="s">
        <v>44</v>
      </c>
      <c r="H85" s="66">
        <v>0</v>
      </c>
      <c r="I85" s="66">
        <v>0</v>
      </c>
      <c r="J85" s="66">
        <v>0</v>
      </c>
      <c r="K85" s="86"/>
      <c r="L85" s="86"/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AA85" s="70"/>
      <c r="AB85" s="71"/>
      <c r="AD85" s="70"/>
      <c r="AE85" s="71"/>
    </row>
    <row r="86" spans="1:31" ht="18" hidden="1" customHeight="1" outlineLevel="2" x14ac:dyDescent="0.2">
      <c r="A86" s="33" t="s">
        <v>43</v>
      </c>
      <c r="B86" s="33" t="s">
        <v>17</v>
      </c>
      <c r="C86" s="4"/>
      <c r="D86" s="4"/>
      <c r="F86" s="38" t="s">
        <v>45</v>
      </c>
      <c r="H86" s="66">
        <v>0</v>
      </c>
      <c r="I86" s="66">
        <v>0</v>
      </c>
      <c r="J86" s="66">
        <v>0</v>
      </c>
      <c r="K86" s="86"/>
      <c r="L86" s="86"/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AA86" s="70"/>
      <c r="AB86" s="71"/>
      <c r="AD86" s="70"/>
      <c r="AE86" s="71"/>
    </row>
    <row r="87" spans="1:31" ht="18" hidden="1" customHeight="1" outlineLevel="2" x14ac:dyDescent="0.2">
      <c r="A87" s="33" t="s">
        <v>46</v>
      </c>
      <c r="B87" s="33" t="s">
        <v>17</v>
      </c>
      <c r="C87" s="4">
        <v>-0.99918984607075356</v>
      </c>
      <c r="D87" s="4">
        <v>-0.99918984607075356</v>
      </c>
      <c r="F87" s="38" t="s">
        <v>47</v>
      </c>
      <c r="H87" s="66">
        <v>-48.597999999999999</v>
      </c>
      <c r="I87" s="66">
        <v>-13.121</v>
      </c>
      <c r="J87" s="66">
        <v>-13.121</v>
      </c>
      <c r="K87" s="86">
        <v>0</v>
      </c>
      <c r="L87" s="8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-77.515000000000001</v>
      </c>
      <c r="T87" s="66">
        <v>77.515000000000001</v>
      </c>
      <c r="U87" s="66">
        <v>-3.7029999999999998</v>
      </c>
      <c r="V87" s="66">
        <v>0</v>
      </c>
      <c r="W87" s="66">
        <v>0</v>
      </c>
      <c r="X87" s="66">
        <v>0</v>
      </c>
      <c r="Y87" s="66">
        <v>-3.7029999999999998</v>
      </c>
      <c r="AA87" s="66">
        <v>0</v>
      </c>
      <c r="AB87" s="65">
        <v>-3.7</v>
      </c>
      <c r="AD87" s="66">
        <v>0</v>
      </c>
      <c r="AE87" s="65">
        <v>-3.7</v>
      </c>
    </row>
    <row r="88" spans="1:31" ht="18" hidden="1" customHeight="1" outlineLevel="1" collapsed="1" x14ac:dyDescent="0.2">
      <c r="A88" s="35"/>
      <c r="B88" s="35"/>
      <c r="C88" s="4">
        <v>-0.99918984607075356</v>
      </c>
      <c r="D88" s="4">
        <v>-0.99918984607075356</v>
      </c>
      <c r="F88" s="106" t="s">
        <v>48</v>
      </c>
      <c r="H88" s="61">
        <v>-48.597999999999999</v>
      </c>
      <c r="I88" s="61">
        <v>-13.121</v>
      </c>
      <c r="J88" s="61">
        <v>-13.121</v>
      </c>
      <c r="K88" s="86">
        <v>0</v>
      </c>
      <c r="L88" s="86">
        <v>0</v>
      </c>
      <c r="M88" s="61">
        <v>0</v>
      </c>
      <c r="N88" s="61">
        <v>0</v>
      </c>
      <c r="O88" s="61">
        <v>0</v>
      </c>
      <c r="P88" s="61">
        <v>0</v>
      </c>
      <c r="Q88" s="61">
        <v>0</v>
      </c>
      <c r="R88" s="61">
        <v>0</v>
      </c>
      <c r="S88" s="61">
        <v>-77.515000000000001</v>
      </c>
      <c r="T88" s="61">
        <v>77.515000000000001</v>
      </c>
      <c r="U88" s="61">
        <v>-3.7029999999999998</v>
      </c>
      <c r="V88" s="61">
        <v>0</v>
      </c>
      <c r="W88" s="61">
        <v>0</v>
      </c>
      <c r="X88" s="61">
        <v>0</v>
      </c>
      <c r="Y88" s="61">
        <v>-3.7029999999999998</v>
      </c>
      <c r="AA88" s="61">
        <v>0</v>
      </c>
      <c r="AB88" s="60">
        <v>-3.7</v>
      </c>
      <c r="AD88" s="61">
        <v>0</v>
      </c>
      <c r="AE88" s="60">
        <v>-3.7</v>
      </c>
    </row>
    <row r="89" spans="1:31" ht="18" hidden="1" customHeight="1" outlineLevel="1" x14ac:dyDescent="0.2">
      <c r="A89" s="30" t="s">
        <v>50</v>
      </c>
      <c r="B89" s="30" t="s">
        <v>17</v>
      </c>
      <c r="C89" s="4">
        <v>-0.99979512395001013</v>
      </c>
      <c r="D89" s="4">
        <v>-0.99979512395001013</v>
      </c>
      <c r="F89" s="106" t="s">
        <v>52</v>
      </c>
      <c r="H89" s="61">
        <v>1.7000000000000001E-2</v>
      </c>
      <c r="I89" s="61">
        <v>-1.0289999999999999</v>
      </c>
      <c r="J89" s="61">
        <v>-1.0289999999999999</v>
      </c>
      <c r="K89" s="86">
        <v>0</v>
      </c>
      <c r="L89" s="86">
        <v>0</v>
      </c>
      <c r="M89" s="61">
        <v>0</v>
      </c>
      <c r="N89" s="61">
        <v>0</v>
      </c>
      <c r="O89" s="61">
        <v>0</v>
      </c>
      <c r="P89" s="61">
        <v>0</v>
      </c>
      <c r="Q89" s="61">
        <v>0</v>
      </c>
      <c r="R89" s="61">
        <v>0</v>
      </c>
      <c r="S89" s="61">
        <v>-0.46800000000000003</v>
      </c>
      <c r="T89" s="61">
        <v>-1.258</v>
      </c>
      <c r="U89" s="61">
        <v>-2.0419999999999998</v>
      </c>
      <c r="V89" s="61">
        <v>-0.12000000000000011</v>
      </c>
      <c r="W89" s="61">
        <v>-9.2000000000000082E-2</v>
      </c>
      <c r="X89" s="61">
        <v>-0.90100000000000025</v>
      </c>
      <c r="Y89" s="61">
        <v>-4.8810000000000002</v>
      </c>
      <c r="AA89" s="61">
        <v>0</v>
      </c>
      <c r="AB89" s="60">
        <v>-4.88</v>
      </c>
      <c r="AD89" s="61">
        <v>0</v>
      </c>
      <c r="AE89" s="60">
        <v>-4.88</v>
      </c>
    </row>
    <row r="90" spans="1:31" ht="18" hidden="1" customHeight="1" outlineLevel="1" x14ac:dyDescent="0.2">
      <c r="A90" s="30" t="s">
        <v>49</v>
      </c>
      <c r="B90" s="30" t="s">
        <v>17</v>
      </c>
      <c r="C90" s="4">
        <v>0</v>
      </c>
      <c r="D90" s="4">
        <v>0</v>
      </c>
      <c r="F90" s="106" t="s">
        <v>51</v>
      </c>
      <c r="H90" s="61">
        <v>0</v>
      </c>
      <c r="I90" s="61">
        <v>0</v>
      </c>
      <c r="J90" s="61">
        <v>0</v>
      </c>
      <c r="K90" s="86">
        <v>0</v>
      </c>
      <c r="L90" s="86">
        <v>0</v>
      </c>
      <c r="M90" s="61">
        <v>0</v>
      </c>
      <c r="N90" s="61">
        <v>0</v>
      </c>
      <c r="O90" s="61">
        <v>0</v>
      </c>
      <c r="P90" s="61">
        <v>0</v>
      </c>
      <c r="Q90" s="61">
        <v>0</v>
      </c>
      <c r="R90" s="61">
        <v>0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0</v>
      </c>
      <c r="Y90" s="61">
        <v>0</v>
      </c>
      <c r="AA90" s="61">
        <v>0</v>
      </c>
      <c r="AB90" s="60">
        <v>0</v>
      </c>
      <c r="AD90" s="61">
        <v>0</v>
      </c>
      <c r="AE90" s="60">
        <v>0</v>
      </c>
    </row>
    <row r="91" spans="1:31" ht="18" hidden="1" customHeight="1" outlineLevel="1" x14ac:dyDescent="0.2">
      <c r="A91" s="30" t="s">
        <v>213</v>
      </c>
      <c r="B91" s="30" t="s">
        <v>17</v>
      </c>
      <c r="C91" s="4">
        <v>-1.0003743916136278</v>
      </c>
      <c r="D91" s="4">
        <v>-1.0003743916136278</v>
      </c>
      <c r="F91" s="106" t="s">
        <v>215</v>
      </c>
      <c r="H91" s="61">
        <v>-16.516999999999999</v>
      </c>
      <c r="I91" s="61">
        <v>-16.657</v>
      </c>
      <c r="J91" s="61">
        <v>-16.657</v>
      </c>
      <c r="K91" s="86">
        <v>0</v>
      </c>
      <c r="L91" s="86">
        <v>0</v>
      </c>
      <c r="M91" s="61">
        <v>-1.0780000000000001</v>
      </c>
      <c r="N91" s="61">
        <v>-0.2629999999999999</v>
      </c>
      <c r="O91" s="61">
        <v>-1.2710000000000001</v>
      </c>
      <c r="P91" s="61">
        <v>-0.71</v>
      </c>
      <c r="Q91" s="61">
        <v>-0.21799999999999997</v>
      </c>
      <c r="R91" s="61">
        <v>-2.4639999999999995</v>
      </c>
      <c r="S91" s="61">
        <v>-0.91900000000000048</v>
      </c>
      <c r="T91" s="61">
        <v>-2.3369999999999997</v>
      </c>
      <c r="U91" s="61">
        <v>-0.73600000000000065</v>
      </c>
      <c r="V91" s="61">
        <v>-1.4580000000000002</v>
      </c>
      <c r="W91" s="61">
        <v>-1.4870000000000001</v>
      </c>
      <c r="X91" s="61">
        <v>-0.4139999999999997</v>
      </c>
      <c r="Y91" s="61">
        <v>-13.355</v>
      </c>
      <c r="AA91" s="61">
        <v>0</v>
      </c>
      <c r="AB91" s="60">
        <v>-13.36</v>
      </c>
      <c r="AD91" s="61">
        <v>0</v>
      </c>
      <c r="AE91" s="60">
        <v>-13.36</v>
      </c>
    </row>
    <row r="92" spans="1:31" ht="18" hidden="1" customHeight="1" outlineLevel="1" x14ac:dyDescent="0.2">
      <c r="A92" s="30" t="s">
        <v>214</v>
      </c>
      <c r="B92" s="30" t="s">
        <v>17</v>
      </c>
      <c r="C92" s="4">
        <v>0</v>
      </c>
      <c r="D92" s="4">
        <v>0</v>
      </c>
      <c r="F92" s="106" t="s">
        <v>216</v>
      </c>
      <c r="H92" s="61">
        <v>0</v>
      </c>
      <c r="I92" s="61">
        <v>0</v>
      </c>
      <c r="J92" s="61">
        <v>0</v>
      </c>
      <c r="K92" s="86">
        <v>0</v>
      </c>
      <c r="L92" s="86">
        <v>0</v>
      </c>
      <c r="M92" s="61">
        <v>0</v>
      </c>
      <c r="N92" s="61">
        <v>0</v>
      </c>
      <c r="O92" s="61">
        <v>0</v>
      </c>
      <c r="P92" s="61">
        <v>0</v>
      </c>
      <c r="Q92" s="61">
        <v>0</v>
      </c>
      <c r="R92" s="61">
        <v>0</v>
      </c>
      <c r="S92" s="61">
        <v>0</v>
      </c>
      <c r="T92" s="61">
        <v>0</v>
      </c>
      <c r="U92" s="61">
        <v>0</v>
      </c>
      <c r="V92" s="61">
        <v>0</v>
      </c>
      <c r="W92" s="61">
        <v>0</v>
      </c>
      <c r="X92" s="61">
        <v>0</v>
      </c>
      <c r="Y92" s="61">
        <v>0</v>
      </c>
      <c r="AA92" s="61">
        <v>0</v>
      </c>
      <c r="AB92" s="60">
        <v>0</v>
      </c>
      <c r="AD92" s="61">
        <v>0</v>
      </c>
      <c r="AE92" s="60">
        <v>0</v>
      </c>
    </row>
    <row r="93" spans="1:31" ht="18" hidden="1" customHeight="1" outlineLevel="2" x14ac:dyDescent="0.2">
      <c r="A93" s="33" t="s">
        <v>53</v>
      </c>
      <c r="B93" s="33" t="s">
        <v>17</v>
      </c>
      <c r="C93" s="4">
        <v>-1.0000114957063535</v>
      </c>
      <c r="D93" s="4">
        <v>-1.0000114957063535</v>
      </c>
      <c r="F93" s="38" t="s">
        <v>55</v>
      </c>
      <c r="H93" s="66">
        <v>1.66600000000017</v>
      </c>
      <c r="I93" s="66">
        <v>-1.13686837721616E-13</v>
      </c>
      <c r="J93" s="66">
        <v>-1.13686837721616E-13</v>
      </c>
      <c r="K93" s="86">
        <v>0</v>
      </c>
      <c r="L93" s="86">
        <v>0</v>
      </c>
      <c r="M93" s="66">
        <v>0</v>
      </c>
      <c r="N93" s="66">
        <v>1.4210854715202001E-14</v>
      </c>
      <c r="O93" s="66">
        <v>0.85399999999999876</v>
      </c>
      <c r="P93" s="66">
        <v>-2.7977620220553945E-14</v>
      </c>
      <c r="Q93" s="66">
        <v>0</v>
      </c>
      <c r="R93" s="66">
        <v>-1.1401990462900358E-13</v>
      </c>
      <c r="S93" s="66">
        <v>1.0000000002040599E-3</v>
      </c>
      <c r="T93" s="66">
        <v>-9.9999999997602007E-4</v>
      </c>
      <c r="U93" s="66">
        <v>0</v>
      </c>
      <c r="V93" s="66">
        <v>-347.32300000000009</v>
      </c>
      <c r="W93" s="66">
        <v>-1.4870000000000232</v>
      </c>
      <c r="X93" s="66">
        <v>0</v>
      </c>
      <c r="Y93" s="66">
        <v>-347.95600000000002</v>
      </c>
      <c r="AA93" s="66">
        <v>0</v>
      </c>
      <c r="AB93" s="60">
        <v>-347.96</v>
      </c>
      <c r="AD93" s="66">
        <v>0</v>
      </c>
      <c r="AE93" s="60">
        <v>-347.96</v>
      </c>
    </row>
    <row r="94" spans="1:31" ht="18" hidden="1" customHeight="1" outlineLevel="2" x14ac:dyDescent="0.2">
      <c r="A94" s="33" t="s">
        <v>54</v>
      </c>
      <c r="B94" s="33" t="s">
        <v>17</v>
      </c>
      <c r="C94" s="4">
        <v>0</v>
      </c>
      <c r="D94" s="4">
        <v>0</v>
      </c>
      <c r="F94" s="38" t="s">
        <v>56</v>
      </c>
      <c r="H94" s="66">
        <v>0</v>
      </c>
      <c r="I94" s="66">
        <v>0</v>
      </c>
      <c r="J94" s="66">
        <v>0</v>
      </c>
      <c r="K94" s="86">
        <v>0</v>
      </c>
      <c r="L94" s="8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AA94" s="66">
        <v>0</v>
      </c>
      <c r="AB94" s="60">
        <v>0</v>
      </c>
      <c r="AD94" s="66">
        <v>0</v>
      </c>
      <c r="AE94" s="60">
        <v>0</v>
      </c>
    </row>
    <row r="95" spans="1:31" ht="18" hidden="1" customHeight="1" outlineLevel="1" collapsed="1" x14ac:dyDescent="0.2">
      <c r="A95" s="35"/>
      <c r="B95" s="35"/>
      <c r="C95" s="4">
        <v>0.99992857653024703</v>
      </c>
      <c r="D95" s="4">
        <v>0.99992857653024703</v>
      </c>
      <c r="F95" s="106" t="s">
        <v>58</v>
      </c>
      <c r="H95" s="61">
        <v>-7.5890000000001265</v>
      </c>
      <c r="I95" s="61">
        <v>38.887999999999678</v>
      </c>
      <c r="J95" s="61">
        <v>38.887999999999678</v>
      </c>
      <c r="K95" s="86">
        <v>0</v>
      </c>
      <c r="L95" s="86">
        <v>0</v>
      </c>
      <c r="M95" s="61">
        <v>-0.14899999999996116</v>
      </c>
      <c r="N95" s="61">
        <v>-9.0069999999999677</v>
      </c>
      <c r="O95" s="61">
        <v>-6.6330000000001954</v>
      </c>
      <c r="P95" s="61">
        <v>1.3190000000000373</v>
      </c>
      <c r="Q95" s="61">
        <v>11.868999999999954</v>
      </c>
      <c r="R95" s="61">
        <v>-1.2489999999999659</v>
      </c>
      <c r="S95" s="61">
        <v>97.771000000000427</v>
      </c>
      <c r="T95" s="61">
        <v>-109.50200000000022</v>
      </c>
      <c r="U95" s="61">
        <v>23.70799999999986</v>
      </c>
      <c r="V95" s="61">
        <v>-35.848000000000049</v>
      </c>
      <c r="W95" s="61">
        <v>50.000999999999912</v>
      </c>
      <c r="X95" s="61">
        <v>-8.2789999999998241</v>
      </c>
      <c r="Y95" s="61">
        <v>14.001000000000012</v>
      </c>
      <c r="AA95" s="61">
        <v>0</v>
      </c>
      <c r="AB95" s="60">
        <v>14</v>
      </c>
      <c r="AD95" s="61">
        <v>0</v>
      </c>
      <c r="AE95" s="60">
        <v>14</v>
      </c>
    </row>
    <row r="96" spans="1:31" ht="18" customHeight="1" collapsed="1" x14ac:dyDescent="0.2">
      <c r="A96" s="35"/>
      <c r="B96" s="35"/>
      <c r="C96" s="4">
        <v>-1.0002519526329066</v>
      </c>
      <c r="D96" s="4">
        <v>-1.0002519526329066</v>
      </c>
      <c r="F96" s="45" t="s">
        <v>26</v>
      </c>
      <c r="H96" s="62">
        <v>-72.687000000000126</v>
      </c>
      <c r="I96" s="62">
        <v>8.0809999999996762</v>
      </c>
      <c r="J96" s="62">
        <v>8.0809999999996762</v>
      </c>
      <c r="K96" s="108">
        <v>0</v>
      </c>
      <c r="L96" s="108">
        <v>0</v>
      </c>
      <c r="M96" s="62">
        <v>-1.2269999999999612</v>
      </c>
      <c r="N96" s="62">
        <v>-9.2699999999999676</v>
      </c>
      <c r="O96" s="62">
        <v>-7.9040000000001953</v>
      </c>
      <c r="P96" s="62">
        <v>0.60900000000003729</v>
      </c>
      <c r="Q96" s="62">
        <v>11.650999999999954</v>
      </c>
      <c r="R96" s="62">
        <v>-3.7129999999999654</v>
      </c>
      <c r="S96" s="62">
        <v>18.869000000000426</v>
      </c>
      <c r="T96" s="62">
        <v>-35.582000000000221</v>
      </c>
      <c r="U96" s="62">
        <v>17.226999999999862</v>
      </c>
      <c r="V96" s="62">
        <v>-37.426000000000045</v>
      </c>
      <c r="W96" s="62">
        <v>48.421999999999912</v>
      </c>
      <c r="X96" s="62">
        <v>-9.5939999999998236</v>
      </c>
      <c r="Y96" s="62">
        <v>-7.9379999999999882</v>
      </c>
      <c r="AA96" s="62">
        <v>0</v>
      </c>
      <c r="AB96" s="60">
        <v>-7.94</v>
      </c>
      <c r="AD96" s="62">
        <v>0</v>
      </c>
      <c r="AE96" s="60">
        <v>-7.94</v>
      </c>
    </row>
    <row r="97" spans="1:31" ht="18" customHeight="1" x14ac:dyDescent="0.2">
      <c r="A97" s="30" t="s">
        <v>16</v>
      </c>
      <c r="B97" s="30" t="s">
        <v>17</v>
      </c>
      <c r="C97" s="4">
        <v>3.6913979360998939E-2</v>
      </c>
      <c r="D97" s="4">
        <v>1.0055591104654626E-2</v>
      </c>
      <c r="F97" s="95" t="s">
        <v>118</v>
      </c>
      <c r="H97" s="64">
        <v>-6022.6570000000002</v>
      </c>
      <c r="I97" s="64">
        <v>-5327.2640000000001</v>
      </c>
      <c r="J97" s="64">
        <v>-5327.2640000000001</v>
      </c>
      <c r="K97" s="89">
        <v>-5349.1930000000002</v>
      </c>
      <c r="L97" s="89">
        <v>-5204.07</v>
      </c>
      <c r="M97" s="64">
        <v>-439.76799999999997</v>
      </c>
      <c r="N97" s="64">
        <v>-439.84899999999999</v>
      </c>
      <c r="O97" s="64">
        <v>-526.19600000000014</v>
      </c>
      <c r="P97" s="64">
        <v>-438.03999999999996</v>
      </c>
      <c r="Q97" s="64">
        <v>-370.97600000000011</v>
      </c>
      <c r="R97" s="64">
        <v>-477.39199999999983</v>
      </c>
      <c r="S97" s="64">
        <v>-378.34299999999985</v>
      </c>
      <c r="T97" s="64">
        <v>-402.30600000000004</v>
      </c>
      <c r="U97" s="64">
        <v>-405.23100000000022</v>
      </c>
      <c r="V97" s="64">
        <v>-481.904</v>
      </c>
      <c r="W97" s="64">
        <v>-388.8090000000002</v>
      </c>
      <c r="X97" s="64">
        <v>-402.92199999999957</v>
      </c>
      <c r="Y97" s="64">
        <v>-5151.7359999999999</v>
      </c>
      <c r="AA97" s="64">
        <v>-5349.1930000000002</v>
      </c>
      <c r="AB97" s="60">
        <v>197.46</v>
      </c>
      <c r="AD97" s="64">
        <v>-5204.07</v>
      </c>
      <c r="AE97" s="60">
        <v>52.33</v>
      </c>
    </row>
    <row r="98" spans="1:31" ht="12.95" customHeight="1" x14ac:dyDescent="0.2">
      <c r="A98" s="35"/>
      <c r="B98" s="35"/>
      <c r="C98" s="4"/>
      <c r="D98" s="4"/>
      <c r="F98" s="39" t="s">
        <v>223</v>
      </c>
      <c r="H98" s="56">
        <v>0.25332502244218219</v>
      </c>
      <c r="I98" s="56">
        <v>0.21830129847799454</v>
      </c>
      <c r="J98" s="56">
        <v>0.21830129847799454</v>
      </c>
      <c r="K98" s="109">
        <v>0.22512531797435603</v>
      </c>
      <c r="L98" s="109">
        <v>0.21334270979148692</v>
      </c>
      <c r="M98" s="56">
        <v>0.23055126102052831</v>
      </c>
      <c r="N98" s="56">
        <v>0.2256504941133739</v>
      </c>
      <c r="O98" s="56">
        <v>0.26931252108018588</v>
      </c>
      <c r="P98" s="56">
        <v>0.20262181639884172</v>
      </c>
      <c r="Q98" s="56">
        <v>0.17111083948903275</v>
      </c>
      <c r="R98" s="56">
        <v>0.22442746297284405</v>
      </c>
      <c r="S98" s="56">
        <v>0.19141575400786498</v>
      </c>
      <c r="T98" s="56">
        <v>0.19681971866403342</v>
      </c>
      <c r="U98" s="56">
        <v>0.19652289714277957</v>
      </c>
      <c r="V98" s="56">
        <v>0.23159342547333531</v>
      </c>
      <c r="W98" s="56">
        <v>0.17962487543663591</v>
      </c>
      <c r="X98" s="56">
        <v>0.18265874780642402</v>
      </c>
      <c r="Y98" s="56">
        <v>0.20771904494985013</v>
      </c>
      <c r="AA98" s="56">
        <v>0.22512531797435603</v>
      </c>
      <c r="AB98" s="57"/>
      <c r="AD98" s="56">
        <v>0.2133427097914869</v>
      </c>
      <c r="AE98" s="57"/>
    </row>
    <row r="99" spans="1:31" ht="6.95" customHeight="1" x14ac:dyDescent="0.2">
      <c r="C99" s="4"/>
      <c r="D99" s="4"/>
      <c r="F99" s="96"/>
      <c r="K99" s="110"/>
      <c r="L99" s="110"/>
      <c r="AB99" s="7"/>
      <c r="AE99" s="7"/>
    </row>
    <row r="100" spans="1:31" ht="18" hidden="1" customHeight="1" outlineLevel="1" x14ac:dyDescent="0.2">
      <c r="A100" s="30" t="s">
        <v>36</v>
      </c>
      <c r="B100" s="30" t="s">
        <v>59</v>
      </c>
      <c r="C100" s="4"/>
      <c r="D100" s="4"/>
      <c r="F100" s="51" t="s">
        <v>235</v>
      </c>
      <c r="G100" s="34"/>
      <c r="H100" s="72">
        <v>6.48</v>
      </c>
      <c r="I100" s="72">
        <v>9.0350000000000001</v>
      </c>
      <c r="J100" s="72">
        <v>9.0350000000000001</v>
      </c>
      <c r="K100" s="111">
        <v>10.7</v>
      </c>
      <c r="L100" s="111">
        <v>11.209</v>
      </c>
      <c r="M100" s="72">
        <v>11.603999999999999</v>
      </c>
      <c r="N100" s="72">
        <v>12.467999999999996</v>
      </c>
      <c r="O100" s="72">
        <v>10.704000000000008</v>
      </c>
      <c r="P100" s="72">
        <v>12.095999999999997</v>
      </c>
      <c r="Q100" s="72">
        <v>12.420000000000002</v>
      </c>
      <c r="R100" s="72">
        <v>12.647999999999996</v>
      </c>
      <c r="S100" s="72">
        <v>12.64800000000001</v>
      </c>
      <c r="T100" s="72">
        <v>12.647999999999982</v>
      </c>
      <c r="U100" s="72">
        <v>10.224000000000018</v>
      </c>
      <c r="V100" s="72">
        <v>11.831999999999994</v>
      </c>
      <c r="W100" s="72">
        <v>11.831999999999994</v>
      </c>
      <c r="X100" s="72">
        <v>11.195999999999998</v>
      </c>
      <c r="Y100" s="72">
        <v>11.86</v>
      </c>
      <c r="Z100" s="34"/>
      <c r="AA100" s="72">
        <v>10.7</v>
      </c>
      <c r="AB100" s="73">
        <v>1.1599999999999999</v>
      </c>
      <c r="AC100" s="34"/>
      <c r="AD100" s="72">
        <v>11.209</v>
      </c>
      <c r="AE100" s="73">
        <v>0.65</v>
      </c>
    </row>
    <row r="101" spans="1:31" ht="18" hidden="1" customHeight="1" outlineLevel="1" x14ac:dyDescent="0.2">
      <c r="A101" s="30" t="s">
        <v>36</v>
      </c>
      <c r="B101" s="30" t="s">
        <v>60</v>
      </c>
      <c r="C101" s="4"/>
      <c r="D101" s="4"/>
      <c r="F101" s="51" t="s">
        <v>236</v>
      </c>
      <c r="G101" s="34"/>
      <c r="H101" s="72">
        <v>2.4700000000000002</v>
      </c>
      <c r="I101" s="72">
        <v>2.9929999999999999</v>
      </c>
      <c r="J101" s="72">
        <v>2.9929999999999999</v>
      </c>
      <c r="K101" s="111">
        <v>3.96</v>
      </c>
      <c r="L101" s="111">
        <v>3.8039999999999998</v>
      </c>
      <c r="M101" s="72">
        <v>3.42</v>
      </c>
      <c r="N101" s="72">
        <v>3.1560000000000006</v>
      </c>
      <c r="O101" s="72">
        <v>3.3359999999999985</v>
      </c>
      <c r="P101" s="72">
        <v>3.4440000000000008</v>
      </c>
      <c r="Q101" s="72">
        <v>3.395999999999999</v>
      </c>
      <c r="R101" s="72">
        <v>3.1800000000000033</v>
      </c>
      <c r="S101" s="72">
        <v>3.1679999999999993</v>
      </c>
      <c r="T101" s="72">
        <v>3.2160000000000011</v>
      </c>
      <c r="U101" s="72">
        <v>2.7959999999999994</v>
      </c>
      <c r="V101" s="72">
        <v>3.1199999999999974</v>
      </c>
      <c r="W101" s="72">
        <v>4.044000000000004</v>
      </c>
      <c r="X101" s="72">
        <v>3.4919999999999973</v>
      </c>
      <c r="Y101" s="72">
        <v>3.3140000000000001</v>
      </c>
      <c r="Z101" s="34"/>
      <c r="AA101" s="72">
        <v>3.96</v>
      </c>
      <c r="AB101" s="73">
        <v>-0.65</v>
      </c>
      <c r="AC101" s="34"/>
      <c r="AD101" s="72">
        <v>3.8039999999999998</v>
      </c>
      <c r="AE101" s="73">
        <v>-0.49</v>
      </c>
    </row>
    <row r="102" spans="1:31" ht="18" hidden="1" customHeight="1" outlineLevel="1" x14ac:dyDescent="0.2">
      <c r="A102" s="30" t="s">
        <v>36</v>
      </c>
      <c r="B102" s="30" t="s">
        <v>61</v>
      </c>
      <c r="C102" s="4"/>
      <c r="D102" s="4"/>
      <c r="F102" s="51" t="s">
        <v>237</v>
      </c>
      <c r="G102" s="34"/>
      <c r="H102" s="72">
        <v>158.66999999999999</v>
      </c>
      <c r="I102" s="72">
        <v>149.529</v>
      </c>
      <c r="J102" s="72">
        <v>149.529</v>
      </c>
      <c r="K102" s="111">
        <v>143.059</v>
      </c>
      <c r="L102" s="111">
        <v>150.72800000000001</v>
      </c>
      <c r="M102" s="72">
        <v>145.27199999999999</v>
      </c>
      <c r="N102" s="72">
        <v>142.00800000000004</v>
      </c>
      <c r="O102" s="72">
        <v>142.73999999999995</v>
      </c>
      <c r="P102" s="72">
        <v>142.596</v>
      </c>
      <c r="Q102" s="72">
        <v>142.64400000000001</v>
      </c>
      <c r="R102" s="72">
        <v>144.45600000000002</v>
      </c>
      <c r="S102" s="72">
        <v>147.56399999999996</v>
      </c>
      <c r="T102" s="72">
        <v>146.20799999999986</v>
      </c>
      <c r="U102" s="72">
        <v>146.67600000000016</v>
      </c>
      <c r="V102" s="72">
        <v>151.65599999999995</v>
      </c>
      <c r="W102" s="72">
        <v>155.59199999999987</v>
      </c>
      <c r="X102" s="72">
        <v>161.47200000000021</v>
      </c>
      <c r="Y102" s="72">
        <v>147.40700000000001</v>
      </c>
      <c r="Z102" s="34"/>
      <c r="AA102" s="72">
        <v>143.059</v>
      </c>
      <c r="AB102" s="73">
        <v>4.3499999999999996</v>
      </c>
      <c r="AC102" s="34"/>
      <c r="AD102" s="72">
        <v>150.72800000000001</v>
      </c>
      <c r="AE102" s="73">
        <v>-3.32</v>
      </c>
    </row>
    <row r="103" spans="1:31" ht="18" hidden="1" customHeight="1" outlineLevel="1" x14ac:dyDescent="0.2">
      <c r="A103" s="30" t="s">
        <v>36</v>
      </c>
      <c r="B103" s="30" t="s">
        <v>62</v>
      </c>
      <c r="C103" s="4"/>
      <c r="D103" s="4"/>
      <c r="F103" s="51" t="s">
        <v>238</v>
      </c>
      <c r="G103" s="34"/>
      <c r="H103" s="72">
        <v>11.1</v>
      </c>
      <c r="I103" s="72">
        <v>8.8279999999999994</v>
      </c>
      <c r="J103" s="72">
        <v>8.8279999999999994</v>
      </c>
      <c r="K103" s="111">
        <v>5.5</v>
      </c>
      <c r="L103" s="111">
        <v>7.9960000000000004</v>
      </c>
      <c r="M103" s="72">
        <v>8.2560000000000002</v>
      </c>
      <c r="N103" s="72">
        <v>8.1000000000000014</v>
      </c>
      <c r="O103" s="72">
        <v>8.7360000000000007</v>
      </c>
      <c r="P103" s="72">
        <v>7.968</v>
      </c>
      <c r="Q103" s="72">
        <v>7.4159999999999968</v>
      </c>
      <c r="R103" s="72">
        <v>8.8440000000000083</v>
      </c>
      <c r="S103" s="72">
        <v>8.5079999999999956</v>
      </c>
      <c r="T103" s="72">
        <v>8.9639999999999986</v>
      </c>
      <c r="U103" s="72">
        <v>9.2999999999999972</v>
      </c>
      <c r="V103" s="72">
        <v>10.560000000000002</v>
      </c>
      <c r="W103" s="72">
        <v>12.456000000000003</v>
      </c>
      <c r="X103" s="72">
        <v>12.947999999999979</v>
      </c>
      <c r="Y103" s="72">
        <v>9.3379999999999992</v>
      </c>
      <c r="Z103" s="34"/>
      <c r="AA103" s="72">
        <v>5.5</v>
      </c>
      <c r="AB103" s="73">
        <v>3.84</v>
      </c>
      <c r="AC103" s="34"/>
      <c r="AD103" s="72">
        <v>7.9960000000000004</v>
      </c>
      <c r="AE103" s="73">
        <v>1.34</v>
      </c>
    </row>
    <row r="104" spans="1:31" ht="18" customHeight="1" collapsed="1" x14ac:dyDescent="0.2">
      <c r="A104" s="30" t="s">
        <v>36</v>
      </c>
      <c r="B104" s="30" t="s">
        <v>18</v>
      </c>
      <c r="C104" s="4"/>
      <c r="D104" s="4"/>
      <c r="F104" s="97" t="s">
        <v>239</v>
      </c>
      <c r="H104" s="74">
        <v>178.72</v>
      </c>
      <c r="I104" s="74">
        <v>170.38499999999999</v>
      </c>
      <c r="J104" s="74">
        <v>170.38499999999999</v>
      </c>
      <c r="K104" s="112">
        <v>163.21899999999999</v>
      </c>
      <c r="L104" s="112">
        <v>174.06700000000001</v>
      </c>
      <c r="M104" s="74">
        <v>168.55199999999999</v>
      </c>
      <c r="N104" s="74">
        <v>165.732</v>
      </c>
      <c r="O104" s="74">
        <v>165.51599999999996</v>
      </c>
      <c r="P104" s="74">
        <v>166.10400000000004</v>
      </c>
      <c r="Q104" s="74">
        <v>165.87599999999998</v>
      </c>
      <c r="R104" s="74">
        <v>169.12800000000016</v>
      </c>
      <c r="S104" s="74">
        <v>171.88799999999992</v>
      </c>
      <c r="T104" s="74">
        <v>171.03600000000006</v>
      </c>
      <c r="U104" s="74">
        <v>168.99599999999987</v>
      </c>
      <c r="V104" s="74">
        <v>177.16800000000012</v>
      </c>
      <c r="W104" s="74">
        <v>183.92399999999998</v>
      </c>
      <c r="X104" s="74">
        <v>189.10800000000017</v>
      </c>
      <c r="Y104" s="74">
        <v>171.91900000000001</v>
      </c>
      <c r="AA104" s="74">
        <v>163.21899999999999</v>
      </c>
      <c r="AB104" s="73">
        <v>8.6999999999999993</v>
      </c>
      <c r="AD104" s="74">
        <v>174.06700000000001</v>
      </c>
      <c r="AE104" s="73">
        <v>-2.15</v>
      </c>
    </row>
    <row r="105" spans="1:31" ht="18" hidden="1" customHeight="1" outlineLevel="1" collapsed="1" x14ac:dyDescent="0.2">
      <c r="A105" s="33" t="s">
        <v>211</v>
      </c>
      <c r="B105" s="33" t="s">
        <v>18</v>
      </c>
      <c r="C105" s="4"/>
      <c r="D105" s="4"/>
      <c r="F105" s="98" t="s">
        <v>212</v>
      </c>
      <c r="G105" s="34"/>
      <c r="H105" s="75">
        <v>197.51599999999999</v>
      </c>
      <c r="I105" s="75">
        <v>188.21600000000001</v>
      </c>
      <c r="J105" s="75">
        <v>188.21600000000001</v>
      </c>
      <c r="K105" s="112">
        <v>163.21899999999999</v>
      </c>
      <c r="L105" s="112">
        <v>174.06700000000001</v>
      </c>
      <c r="M105" s="75">
        <v>181.17600000000002</v>
      </c>
      <c r="N105" s="75">
        <v>185.232</v>
      </c>
      <c r="O105" s="75">
        <v>182.43600000000004</v>
      </c>
      <c r="P105" s="75">
        <v>181.59599999999989</v>
      </c>
      <c r="Q105" s="75">
        <v>181.95600000000002</v>
      </c>
      <c r="R105" s="75">
        <v>180.44399999999996</v>
      </c>
      <c r="S105" s="75">
        <v>183.46800000000007</v>
      </c>
      <c r="T105" s="75">
        <v>187.16399999999999</v>
      </c>
      <c r="U105" s="75">
        <v>185.77200000000016</v>
      </c>
      <c r="V105" s="75">
        <v>195.76800000000003</v>
      </c>
      <c r="W105" s="75">
        <v>203.08800000000019</v>
      </c>
      <c r="X105" s="75">
        <v>201.56399999999985</v>
      </c>
      <c r="Y105" s="75">
        <v>187.47200000000001</v>
      </c>
      <c r="Z105" s="34"/>
      <c r="AA105" s="75">
        <v>163.21899999999999</v>
      </c>
      <c r="AB105" s="76">
        <v>24.25</v>
      </c>
      <c r="AC105" s="34"/>
      <c r="AD105" s="75">
        <v>174.06700000000001</v>
      </c>
      <c r="AE105" s="76">
        <v>13.41</v>
      </c>
    </row>
    <row r="106" spans="1:31" ht="18" hidden="1" customHeight="1" outlineLevel="1" collapsed="1" x14ac:dyDescent="0.2">
      <c r="A106" s="35"/>
      <c r="B106" s="35"/>
      <c r="C106" s="4"/>
      <c r="D106" s="4"/>
      <c r="F106" s="97" t="s">
        <v>240</v>
      </c>
      <c r="H106" s="74">
        <v>18.795999999999992</v>
      </c>
      <c r="I106" s="74">
        <v>17.831000000000017</v>
      </c>
      <c r="J106" s="74">
        <v>17.831000000000017</v>
      </c>
      <c r="K106" s="112">
        <v>0</v>
      </c>
      <c r="L106" s="112">
        <v>0</v>
      </c>
      <c r="M106" s="74">
        <v>12.624000000000024</v>
      </c>
      <c r="N106" s="74">
        <v>19.5</v>
      </c>
      <c r="O106" s="74">
        <v>16.920000000000073</v>
      </c>
      <c r="P106" s="74">
        <v>15.491999999999848</v>
      </c>
      <c r="Q106" s="74">
        <v>16.080000000000041</v>
      </c>
      <c r="R106" s="74">
        <v>11.315999999999804</v>
      </c>
      <c r="S106" s="74">
        <v>11.580000000000155</v>
      </c>
      <c r="T106" s="74">
        <v>16.127999999999929</v>
      </c>
      <c r="U106" s="74">
        <v>16.776000000000295</v>
      </c>
      <c r="V106" s="74">
        <v>18.599999999999909</v>
      </c>
      <c r="W106" s="74">
        <v>19.164000000000215</v>
      </c>
      <c r="X106" s="74">
        <v>12.455999999999676</v>
      </c>
      <c r="Y106" s="74">
        <v>15.552999999999997</v>
      </c>
      <c r="AA106" s="74">
        <v>0</v>
      </c>
      <c r="AB106" s="73">
        <v>15.55</v>
      </c>
      <c r="AD106" s="74">
        <v>0</v>
      </c>
      <c r="AE106" s="73">
        <v>15.55</v>
      </c>
    </row>
    <row r="107" spans="1:31" ht="12.95" hidden="1" customHeight="1" outlineLevel="1" x14ac:dyDescent="0.2">
      <c r="A107" s="35"/>
      <c r="B107" s="35"/>
      <c r="C107" s="4"/>
      <c r="D107" s="4"/>
      <c r="F107" s="39" t="s">
        <v>37</v>
      </c>
      <c r="H107" s="68">
        <v>9.5161910933797736E-2</v>
      </c>
      <c r="I107" s="68">
        <v>9.4736898032048378E-2</v>
      </c>
      <c r="J107" s="68">
        <v>9.4736898032048378E-2</v>
      </c>
      <c r="K107" s="113">
        <v>0</v>
      </c>
      <c r="L107" s="113">
        <v>0</v>
      </c>
      <c r="M107" s="68">
        <v>6.9678103060008073E-2</v>
      </c>
      <c r="N107" s="68">
        <v>0.10527338688779476</v>
      </c>
      <c r="O107" s="68">
        <v>9.2744852989541923E-2</v>
      </c>
      <c r="P107" s="68">
        <v>8.5310249124429263E-2</v>
      </c>
      <c r="Q107" s="68">
        <v>8.8373013255952204E-2</v>
      </c>
      <c r="R107" s="68">
        <v>6.2711977123095286E-2</v>
      </c>
      <c r="S107" s="68">
        <v>6.3117273857022205E-2</v>
      </c>
      <c r="T107" s="68">
        <v>8.6170417387958845E-2</v>
      </c>
      <c r="U107" s="68">
        <v>9.0304243911893498E-2</v>
      </c>
      <c r="V107" s="68">
        <v>9.5010420497731535E-2</v>
      </c>
      <c r="W107" s="68">
        <v>9.4363034743560406E-2</v>
      </c>
      <c r="X107" s="68">
        <v>6.1796749419537646E-2</v>
      </c>
      <c r="Y107" s="68">
        <v>8.2961722283861034E-2</v>
      </c>
      <c r="AA107" s="68">
        <v>0</v>
      </c>
      <c r="AB107" s="69"/>
      <c r="AD107" s="68">
        <v>0</v>
      </c>
      <c r="AE107" s="69"/>
    </row>
    <row r="108" spans="1:31" ht="18" customHeight="1" collapsed="1" x14ac:dyDescent="0.2">
      <c r="A108" s="30" t="s">
        <v>220</v>
      </c>
      <c r="B108" s="30" t="s">
        <v>18</v>
      </c>
      <c r="C108" s="4">
        <v>-1.4636840111244675E-2</v>
      </c>
      <c r="D108" s="4">
        <v>-1.6594007855362261E-2</v>
      </c>
      <c r="F108" s="106" t="s">
        <v>66</v>
      </c>
      <c r="H108" s="61">
        <v>-8765.116</v>
      </c>
      <c r="I108" s="61">
        <v>-8584.8880000000008</v>
      </c>
      <c r="J108" s="61">
        <v>-8584.8880000000008</v>
      </c>
      <c r="K108" s="86">
        <v>-8445.8120099999996</v>
      </c>
      <c r="L108" s="86">
        <v>-8429.5488600000008</v>
      </c>
      <c r="M108" s="61">
        <v>-691.947</v>
      </c>
      <c r="N108" s="61">
        <v>-665.36299999999994</v>
      </c>
      <c r="O108" s="61">
        <v>-703.66699999999992</v>
      </c>
      <c r="P108" s="61">
        <v>-690.73800000000028</v>
      </c>
      <c r="Q108" s="61">
        <v>-670.73999999999978</v>
      </c>
      <c r="R108" s="61">
        <v>-822.94599999999991</v>
      </c>
      <c r="S108" s="61">
        <v>-673.70600000000013</v>
      </c>
      <c r="T108" s="61">
        <v>-635.92100000000028</v>
      </c>
      <c r="U108" s="61">
        <v>-750.82200000000012</v>
      </c>
      <c r="V108" s="61">
        <v>-737.42300000000978</v>
      </c>
      <c r="W108" s="61">
        <v>-706.60799999999017</v>
      </c>
      <c r="X108" s="61">
        <v>-819.55000000000018</v>
      </c>
      <c r="Y108" s="61">
        <v>-8569.4310000000005</v>
      </c>
      <c r="AA108" s="61">
        <v>-8445.8120099999996</v>
      </c>
      <c r="AB108" s="60">
        <v>-123.62</v>
      </c>
      <c r="AD108" s="61">
        <v>-8429.5488600000008</v>
      </c>
      <c r="AE108" s="60">
        <v>-139.88</v>
      </c>
    </row>
    <row r="109" spans="1:31" ht="18" customHeight="1" x14ac:dyDescent="0.2">
      <c r="A109" s="30" t="s">
        <v>218</v>
      </c>
      <c r="B109" s="30" t="s">
        <v>18</v>
      </c>
      <c r="C109" s="4">
        <v>-1.0000321192265691</v>
      </c>
      <c r="D109" s="4">
        <v>-1.0000321192265691</v>
      </c>
      <c r="F109" s="104" t="s">
        <v>219</v>
      </c>
      <c r="G109" s="36"/>
      <c r="H109" s="65">
        <v>38.090000000000003</v>
      </c>
      <c r="I109" s="65">
        <v>-26.887</v>
      </c>
      <c r="J109" s="65">
        <v>-26.887</v>
      </c>
      <c r="K109" s="65">
        <v>0</v>
      </c>
      <c r="L109" s="65">
        <v>0</v>
      </c>
      <c r="M109" s="65">
        <v>-45.279000000000003</v>
      </c>
      <c r="N109" s="65">
        <v>-41.893999999999998</v>
      </c>
      <c r="O109" s="65">
        <v>-20.677999999999997</v>
      </c>
      <c r="P109" s="65">
        <v>-27.513000000000005</v>
      </c>
      <c r="Q109" s="65">
        <v>60.364000000000004</v>
      </c>
      <c r="R109" s="65">
        <v>19.156999999999996</v>
      </c>
      <c r="S109" s="65">
        <v>42.109000000000002</v>
      </c>
      <c r="T109" s="65">
        <v>118.53999999999999</v>
      </c>
      <c r="U109" s="65">
        <v>-41.313999999999986</v>
      </c>
      <c r="V109" s="65">
        <v>-21.024999999999999</v>
      </c>
      <c r="W109" s="65">
        <v>-54.836999999999996</v>
      </c>
      <c r="X109" s="65">
        <v>-49.898000000000003</v>
      </c>
      <c r="Y109" s="65">
        <v>-62.268000000000001</v>
      </c>
      <c r="Z109" s="36"/>
      <c r="AA109" s="65">
        <v>0</v>
      </c>
      <c r="AB109" s="60">
        <v>-62.27</v>
      </c>
      <c r="AC109" s="36"/>
      <c r="AD109" s="65">
        <v>0</v>
      </c>
      <c r="AE109" s="60">
        <v>-62.27</v>
      </c>
    </row>
    <row r="110" spans="1:31" ht="18" customHeight="1" x14ac:dyDescent="0.2">
      <c r="A110" s="30" t="s">
        <v>34</v>
      </c>
      <c r="B110" s="30" t="s">
        <v>18</v>
      </c>
      <c r="C110" s="4">
        <v>1.0001604106512674</v>
      </c>
      <c r="D110" s="4">
        <v>1.0001604106512674</v>
      </c>
      <c r="F110" s="106" t="s">
        <v>57</v>
      </c>
      <c r="H110" s="61">
        <v>12.468</v>
      </c>
      <c r="I110" s="61">
        <v>12.468</v>
      </c>
      <c r="J110" s="61">
        <v>12.468</v>
      </c>
      <c r="K110" s="86">
        <v>0</v>
      </c>
      <c r="L110" s="86">
        <v>0</v>
      </c>
      <c r="M110" s="61">
        <v>1.0389999999999999</v>
      </c>
      <c r="N110" s="61">
        <v>1.0389999999999999</v>
      </c>
      <c r="O110" s="61">
        <v>1.0390000000000001</v>
      </c>
      <c r="P110" s="61">
        <v>1.0389999999999997</v>
      </c>
      <c r="Q110" s="61">
        <v>1.0390000000000006</v>
      </c>
      <c r="R110" s="61">
        <v>1.0389999999999997</v>
      </c>
      <c r="S110" s="61">
        <v>1.0389999999999997</v>
      </c>
      <c r="T110" s="61">
        <v>1.0389999999999997</v>
      </c>
      <c r="U110" s="61">
        <v>1.0390000000000015</v>
      </c>
      <c r="V110" s="61">
        <v>1.0389999999999997</v>
      </c>
      <c r="W110" s="61">
        <v>1.0389999999999997</v>
      </c>
      <c r="X110" s="61">
        <v>1.0389999999999997</v>
      </c>
      <c r="Y110" s="61">
        <v>12.468</v>
      </c>
      <c r="AA110" s="61">
        <v>0</v>
      </c>
      <c r="AB110" s="60">
        <v>12.47</v>
      </c>
      <c r="AD110" s="61">
        <v>0</v>
      </c>
      <c r="AE110" s="60">
        <v>12.47</v>
      </c>
    </row>
    <row r="111" spans="1:31" ht="18" customHeight="1" x14ac:dyDescent="0.2">
      <c r="A111" s="30" t="s">
        <v>221</v>
      </c>
      <c r="B111" s="30" t="s">
        <v>18</v>
      </c>
      <c r="C111" s="4">
        <v>1.0001494247148477</v>
      </c>
      <c r="D111" s="4">
        <v>0.44564434845212386</v>
      </c>
      <c r="F111" s="106" t="s">
        <v>379</v>
      </c>
      <c r="H111" s="61">
        <v>8.9719999999999995</v>
      </c>
      <c r="I111" s="61">
        <v>19.576000000000001</v>
      </c>
      <c r="J111" s="61">
        <v>19.576000000000001</v>
      </c>
      <c r="K111" s="86">
        <v>0</v>
      </c>
      <c r="L111" s="86">
        <v>13.89</v>
      </c>
      <c r="M111" s="61">
        <v>1.264</v>
      </c>
      <c r="N111" s="61">
        <v>0.59899999999999998</v>
      </c>
      <c r="O111" s="61">
        <v>5.8279999999999994</v>
      </c>
      <c r="P111" s="61">
        <v>2.0440000000000005</v>
      </c>
      <c r="Q111" s="61">
        <v>2.3490000000000002</v>
      </c>
      <c r="R111" s="61">
        <v>1.9969999999999999</v>
      </c>
      <c r="S111" s="61">
        <v>0</v>
      </c>
      <c r="T111" s="61">
        <v>1.7230000000000008</v>
      </c>
      <c r="U111" s="61">
        <v>0.20800000000000018</v>
      </c>
      <c r="V111" s="61">
        <v>0.24800000000000111</v>
      </c>
      <c r="W111" s="61">
        <v>0</v>
      </c>
      <c r="X111" s="61">
        <v>3.8170000000000002</v>
      </c>
      <c r="Y111" s="61">
        <v>20.077000000000002</v>
      </c>
      <c r="AA111" s="61">
        <v>0</v>
      </c>
      <c r="AB111" s="60">
        <v>20.079999999999998</v>
      </c>
      <c r="AD111" s="61">
        <v>13.89</v>
      </c>
      <c r="AE111" s="60">
        <v>6.19</v>
      </c>
    </row>
    <row r="112" spans="1:31" ht="18" customHeight="1" x14ac:dyDescent="0.2">
      <c r="A112" s="30" t="s">
        <v>430</v>
      </c>
      <c r="B112" s="30" t="s">
        <v>18</v>
      </c>
      <c r="C112" s="4">
        <v>0</v>
      </c>
      <c r="D112" s="4">
        <v>0</v>
      </c>
      <c r="F112" s="106" t="s">
        <v>431</v>
      </c>
      <c r="H112" s="61">
        <v>-6.4320000000000004</v>
      </c>
      <c r="I112" s="61">
        <v>-0.59599999999999997</v>
      </c>
      <c r="J112" s="61">
        <v>-0.59599999999999997</v>
      </c>
      <c r="K112" s="86">
        <v>0</v>
      </c>
      <c r="L112" s="86">
        <v>0</v>
      </c>
      <c r="M112" s="61">
        <v>0</v>
      </c>
      <c r="N112" s="61">
        <v>0</v>
      </c>
      <c r="O112" s="61">
        <v>0</v>
      </c>
      <c r="P112" s="61">
        <v>0</v>
      </c>
      <c r="Q112" s="61">
        <v>0</v>
      </c>
      <c r="R112" s="61">
        <v>0</v>
      </c>
      <c r="S112" s="61">
        <v>0</v>
      </c>
      <c r="T112" s="61">
        <v>0</v>
      </c>
      <c r="U112" s="61">
        <v>0</v>
      </c>
      <c r="V112" s="61">
        <v>0</v>
      </c>
      <c r="W112" s="61">
        <v>0</v>
      </c>
      <c r="X112" s="61">
        <v>0</v>
      </c>
      <c r="Y112" s="61">
        <v>0</v>
      </c>
      <c r="AA112" s="61">
        <v>0</v>
      </c>
      <c r="AB112" s="60">
        <v>0</v>
      </c>
      <c r="AD112" s="61">
        <v>0</v>
      </c>
      <c r="AE112" s="60">
        <v>0</v>
      </c>
    </row>
    <row r="113" spans="1:31" ht="18" customHeight="1" x14ac:dyDescent="0.2">
      <c r="A113" s="30" t="s">
        <v>35</v>
      </c>
      <c r="B113" s="30" t="s">
        <v>18</v>
      </c>
      <c r="C113" s="4">
        <v>-8.51</v>
      </c>
      <c r="D113" s="4">
        <v>-6.9340329835082468E-2</v>
      </c>
      <c r="F113" s="106" t="s">
        <v>67</v>
      </c>
      <c r="H113" s="61">
        <v>-0.27500000000000002</v>
      </c>
      <c r="I113" s="61">
        <v>-18.806999999999999</v>
      </c>
      <c r="J113" s="61">
        <v>-18.806999999999999</v>
      </c>
      <c r="K113" s="86">
        <v>-3</v>
      </c>
      <c r="L113" s="86">
        <v>-26.68</v>
      </c>
      <c r="M113" s="61">
        <v>-1.972</v>
      </c>
      <c r="N113" s="61">
        <v>-3.2239999999999998</v>
      </c>
      <c r="O113" s="61">
        <v>-2.468</v>
      </c>
      <c r="P113" s="61">
        <v>-2.2850000000000001</v>
      </c>
      <c r="Q113" s="61">
        <v>0.22100000000000009</v>
      </c>
      <c r="R113" s="61">
        <v>-3.7810000000000006</v>
      </c>
      <c r="S113" s="61">
        <v>-2.2829999999999995</v>
      </c>
      <c r="T113" s="61">
        <v>-2.2859999999999996</v>
      </c>
      <c r="U113" s="61">
        <v>-1.9430000000000014</v>
      </c>
      <c r="V113" s="61">
        <v>-2.379999999999999</v>
      </c>
      <c r="W113" s="61">
        <v>-2.1589999999999989</v>
      </c>
      <c r="X113" s="61">
        <v>-3.9649999999999999</v>
      </c>
      <c r="Y113" s="61">
        <v>-28.524999999999999</v>
      </c>
      <c r="AA113" s="61">
        <v>-3</v>
      </c>
      <c r="AB113" s="60">
        <v>-25.53</v>
      </c>
      <c r="AD113" s="61">
        <v>-26.679999999999996</v>
      </c>
      <c r="AE113" s="60">
        <v>-1.85</v>
      </c>
    </row>
    <row r="114" spans="1:31" ht="18" hidden="1" customHeight="1" outlineLevel="1" collapsed="1" x14ac:dyDescent="0.2">
      <c r="A114" s="35"/>
      <c r="B114" s="35"/>
      <c r="C114" s="4"/>
      <c r="D114" s="4"/>
      <c r="F114" s="97" t="s">
        <v>453</v>
      </c>
      <c r="H114" s="74">
        <v>1.4363181818181818</v>
      </c>
      <c r="I114" s="74">
        <v>0.80693181818181825</v>
      </c>
      <c r="J114" s="74">
        <v>0.80693181818181825</v>
      </c>
      <c r="K114" s="112">
        <v>0.45454545454545453</v>
      </c>
      <c r="L114" s="112">
        <v>0.10227272727272728</v>
      </c>
      <c r="M114" s="74">
        <v>2.7545454545454547E-2</v>
      </c>
      <c r="N114" s="74">
        <v>0</v>
      </c>
      <c r="O114" s="74">
        <v>0.29454545454545455</v>
      </c>
      <c r="P114" s="74">
        <v>0</v>
      </c>
      <c r="Q114" s="74">
        <v>0</v>
      </c>
      <c r="R114" s="74">
        <v>0.25063636363636366</v>
      </c>
      <c r="S114" s="74">
        <v>-0.24409090909090908</v>
      </c>
      <c r="T114" s="74">
        <v>0</v>
      </c>
      <c r="U114" s="74">
        <v>0</v>
      </c>
      <c r="V114" s="74">
        <v>2.0727272727272728</v>
      </c>
      <c r="W114" s="74">
        <v>-0.23536363636363625</v>
      </c>
      <c r="X114" s="74">
        <v>-0.4802727272727273</v>
      </c>
      <c r="Y114" s="74">
        <v>0.14047727272727273</v>
      </c>
      <c r="AA114" s="74">
        <v>0.45454545454545453</v>
      </c>
      <c r="AB114" s="73">
        <v>-0.31</v>
      </c>
      <c r="AD114" s="74">
        <v>0.10227272727272728</v>
      </c>
      <c r="AE114" s="73">
        <v>0.04</v>
      </c>
    </row>
    <row r="115" spans="1:31" ht="18" customHeight="1" collapsed="1" x14ac:dyDescent="0.2">
      <c r="A115" s="30" t="s">
        <v>20</v>
      </c>
      <c r="B115" s="30" t="s">
        <v>18</v>
      </c>
      <c r="C115" s="4">
        <v>0.69100000000000006</v>
      </c>
      <c r="D115" s="4">
        <v>-0.37333333333333329</v>
      </c>
      <c r="F115" s="106" t="s">
        <v>68</v>
      </c>
      <c r="H115" s="61">
        <v>-63.198</v>
      </c>
      <c r="I115" s="61">
        <v>-35.505000000000003</v>
      </c>
      <c r="J115" s="61">
        <v>-35.505000000000003</v>
      </c>
      <c r="K115" s="86">
        <v>-20</v>
      </c>
      <c r="L115" s="86">
        <v>-4.5</v>
      </c>
      <c r="M115" s="61">
        <v>-0.10100000000000001</v>
      </c>
      <c r="N115" s="61">
        <v>0</v>
      </c>
      <c r="O115" s="61">
        <v>-1.08</v>
      </c>
      <c r="P115" s="61">
        <v>0</v>
      </c>
      <c r="Q115" s="61">
        <v>0</v>
      </c>
      <c r="R115" s="61">
        <v>-0.91900000000000004</v>
      </c>
      <c r="S115" s="61">
        <v>0.89500000000000002</v>
      </c>
      <c r="T115" s="61">
        <v>0</v>
      </c>
      <c r="U115" s="61">
        <v>0</v>
      </c>
      <c r="V115" s="61">
        <v>-7.6</v>
      </c>
      <c r="W115" s="61">
        <v>0.86299999999999955</v>
      </c>
      <c r="X115" s="61">
        <v>1.7610000000000001</v>
      </c>
      <c r="Y115" s="61">
        <v>-6.181</v>
      </c>
      <c r="AA115" s="61">
        <v>-20</v>
      </c>
      <c r="AB115" s="60">
        <v>13.82</v>
      </c>
      <c r="AD115" s="61">
        <v>-4.5</v>
      </c>
      <c r="AE115" s="60">
        <v>-1.68</v>
      </c>
    </row>
    <row r="116" spans="1:31" ht="18" customHeight="1" x14ac:dyDescent="0.2">
      <c r="A116" s="35"/>
      <c r="B116" s="35"/>
      <c r="C116" s="4">
        <v>-1.9489156189216202E-2</v>
      </c>
      <c r="D116" s="4">
        <v>-2.2140827249071019E-2</v>
      </c>
      <c r="F116" s="95" t="s">
        <v>275</v>
      </c>
      <c r="H116" s="198">
        <v>-8775.491</v>
      </c>
      <c r="I116" s="198">
        <v>-8634.639000000001</v>
      </c>
      <c r="J116" s="198">
        <v>-8634.639000000001</v>
      </c>
      <c r="K116" s="89">
        <v>-8468.8120099999996</v>
      </c>
      <c r="L116" s="89">
        <v>-8446.8388600000017</v>
      </c>
      <c r="M116" s="64">
        <v>-736.99599999999998</v>
      </c>
      <c r="N116" s="64">
        <v>-708.84299999999996</v>
      </c>
      <c r="O116" s="64">
        <v>-721.02599999999995</v>
      </c>
      <c r="P116" s="64">
        <v>-717.45300000000032</v>
      </c>
      <c r="Q116" s="64">
        <v>-606.76699999999971</v>
      </c>
      <c r="R116" s="64">
        <v>-805.45299999999986</v>
      </c>
      <c r="S116" s="64">
        <v>-631.94600000000014</v>
      </c>
      <c r="T116" s="64">
        <v>-516.90500000000031</v>
      </c>
      <c r="U116" s="64">
        <v>-792.83200000000011</v>
      </c>
      <c r="V116" s="64">
        <v>-767.14100000000974</v>
      </c>
      <c r="W116" s="64">
        <v>-761.70199999999022</v>
      </c>
      <c r="X116" s="64">
        <v>-866.79600000000028</v>
      </c>
      <c r="Y116" s="64">
        <v>-8633.86</v>
      </c>
      <c r="AA116" s="64">
        <v>-8468.8120099999996</v>
      </c>
      <c r="AB116" s="60">
        <v>-165.05</v>
      </c>
      <c r="AD116" s="64">
        <v>-8446.8388600000017</v>
      </c>
      <c r="AE116" s="60">
        <v>-187.02</v>
      </c>
    </row>
    <row r="117" spans="1:31" ht="12.95" customHeight="1" x14ac:dyDescent="0.2">
      <c r="A117" s="35"/>
      <c r="B117" s="35"/>
      <c r="C117" s="4"/>
      <c r="D117" s="4"/>
      <c r="F117" s="39" t="s">
        <v>223</v>
      </c>
      <c r="H117" s="56">
        <v>0.36911473698670999</v>
      </c>
      <c r="I117" s="56">
        <v>0.35383132985125804</v>
      </c>
      <c r="J117" s="56">
        <v>0.35383132985125804</v>
      </c>
      <c r="K117" s="109">
        <v>0.35641712621255112</v>
      </c>
      <c r="L117" s="109">
        <v>0.34628117830168209</v>
      </c>
      <c r="M117" s="56">
        <v>0.38637499128423458</v>
      </c>
      <c r="N117" s="56">
        <v>0.363649282364644</v>
      </c>
      <c r="O117" s="56">
        <v>0.36902851755688387</v>
      </c>
      <c r="P117" s="56">
        <v>0.33186839110765742</v>
      </c>
      <c r="Q117" s="56">
        <v>0.27986826841693763</v>
      </c>
      <c r="R117" s="56">
        <v>0.3786527074895813</v>
      </c>
      <c r="S117" s="56">
        <v>0.31972157561327769</v>
      </c>
      <c r="T117" s="56">
        <v>0.25288486046947406</v>
      </c>
      <c r="U117" s="56">
        <v>0.384495859367877</v>
      </c>
      <c r="V117" s="56">
        <v>0.36867262361599445</v>
      </c>
      <c r="W117" s="56">
        <v>0.35189675874229925</v>
      </c>
      <c r="X117" s="56">
        <v>0.3929491861045496</v>
      </c>
      <c r="Y117" s="56">
        <v>0.3481189939528565</v>
      </c>
      <c r="AA117" s="56">
        <v>0.35641712621255112</v>
      </c>
      <c r="AB117" s="57"/>
      <c r="AD117" s="56">
        <v>0.34628117830168204</v>
      </c>
      <c r="AE117" s="57"/>
    </row>
    <row r="118" spans="1:31" ht="6.95" customHeight="1" x14ac:dyDescent="0.2">
      <c r="C118" s="4"/>
      <c r="D118" s="4"/>
      <c r="F118" s="99"/>
      <c r="H118" s="16"/>
      <c r="I118" s="16"/>
      <c r="J118" s="16"/>
      <c r="K118" s="85"/>
      <c r="L118" s="85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AA118" s="16"/>
      <c r="AB118" s="20"/>
      <c r="AD118" s="16"/>
      <c r="AE118" s="20"/>
    </row>
    <row r="119" spans="1:31" ht="18" customHeight="1" x14ac:dyDescent="0.2">
      <c r="A119" s="30" t="s">
        <v>70</v>
      </c>
      <c r="B119" s="30" t="s">
        <v>18</v>
      </c>
      <c r="C119" s="4"/>
      <c r="D119" s="4"/>
      <c r="F119" s="97" t="s">
        <v>225</v>
      </c>
      <c r="H119" s="74">
        <v>185.07599999999999</v>
      </c>
      <c r="I119" s="74">
        <v>182.80000000000004</v>
      </c>
      <c r="J119" s="74">
        <v>182.8</v>
      </c>
      <c r="K119" s="112">
        <v>184</v>
      </c>
      <c r="L119" s="112">
        <v>192</v>
      </c>
      <c r="M119" s="74">
        <v>176.41200000000001</v>
      </c>
      <c r="N119" s="74">
        <v>174.27599999999998</v>
      </c>
      <c r="O119" s="74">
        <v>176.18399999999997</v>
      </c>
      <c r="P119" s="74">
        <v>178.5</v>
      </c>
      <c r="Q119" s="74">
        <v>179.83199999999999</v>
      </c>
      <c r="R119" s="74">
        <v>174.69600000000014</v>
      </c>
      <c r="S119" s="74">
        <v>176.01599999999985</v>
      </c>
      <c r="T119" s="74">
        <v>175.99200000000019</v>
      </c>
      <c r="U119" s="74">
        <v>167.5799999999997</v>
      </c>
      <c r="V119" s="74">
        <v>178.68000000000029</v>
      </c>
      <c r="W119" s="74">
        <v>181.404</v>
      </c>
      <c r="X119" s="74">
        <v>178.67999999999984</v>
      </c>
      <c r="Y119" s="74">
        <v>176.52099999999999</v>
      </c>
      <c r="AA119" s="74">
        <v>184</v>
      </c>
      <c r="AB119" s="73">
        <v>-7.48</v>
      </c>
      <c r="AD119" s="74">
        <v>192</v>
      </c>
      <c r="AE119" s="73">
        <v>-15.48</v>
      </c>
    </row>
    <row r="120" spans="1:31" ht="12.95" customHeight="1" x14ac:dyDescent="0.2">
      <c r="A120" s="35"/>
      <c r="B120" s="35"/>
      <c r="C120" s="4"/>
      <c r="D120" s="4"/>
      <c r="F120" s="39" t="s">
        <v>71</v>
      </c>
      <c r="H120" s="132">
        <v>-7032.3650824526158</v>
      </c>
      <c r="I120" s="132">
        <v>-7116.7669584245077</v>
      </c>
      <c r="J120" s="132">
        <v>-7116.7669584245086</v>
      </c>
      <c r="K120" s="133">
        <v>-7289.1304347826072</v>
      </c>
      <c r="L120" s="133">
        <v>-7894.270833333333</v>
      </c>
      <c r="M120" s="132">
        <v>-659.85873976826974</v>
      </c>
      <c r="N120" s="132">
        <v>-667.08554247285917</v>
      </c>
      <c r="O120" s="132">
        <v>-902.52803886845606</v>
      </c>
      <c r="P120" s="132">
        <v>-794.73389355742279</v>
      </c>
      <c r="Q120" s="132">
        <v>-726.97851327906051</v>
      </c>
      <c r="R120" s="132">
        <v>-667.58254338965958</v>
      </c>
      <c r="S120" s="132">
        <v>-597.40591764385078</v>
      </c>
      <c r="T120" s="132">
        <v>-526.00118187190276</v>
      </c>
      <c r="U120" s="132">
        <v>-838.85308509368849</v>
      </c>
      <c r="V120" s="132">
        <v>-773.3154242220719</v>
      </c>
      <c r="W120" s="132">
        <v>-910.58631562699861</v>
      </c>
      <c r="X120" s="132">
        <v>-706.40250727557714</v>
      </c>
      <c r="Y120" s="132">
        <v>-8773.8739300139932</v>
      </c>
      <c r="AA120" s="132">
        <v>-7289.1304347826072</v>
      </c>
      <c r="AB120" s="134">
        <v>-1484.74</v>
      </c>
      <c r="AD120" s="132">
        <v>-7894.270833333333</v>
      </c>
      <c r="AE120" s="134">
        <v>-879.6</v>
      </c>
    </row>
    <row r="121" spans="1:31" ht="18" customHeight="1" x14ac:dyDescent="0.2">
      <c r="A121" s="30" t="s">
        <v>63</v>
      </c>
      <c r="B121" s="30" t="s">
        <v>18</v>
      </c>
      <c r="C121" s="4">
        <v>4.9276837318742467E-2</v>
      </c>
      <c r="D121" s="4">
        <v>3.1345725755817275E-2</v>
      </c>
      <c r="F121" s="106" t="s">
        <v>401</v>
      </c>
      <c r="H121" s="61">
        <v>-346.64100000000002</v>
      </c>
      <c r="I121" s="61">
        <v>-361.05700000000002</v>
      </c>
      <c r="J121" s="61">
        <v>-361.05700000000002</v>
      </c>
      <c r="K121" s="86">
        <v>-428.39600000000002</v>
      </c>
      <c r="L121" s="86">
        <v>-420.47199999999998</v>
      </c>
      <c r="M121" s="61">
        <v>-30.73</v>
      </c>
      <c r="N121" s="61">
        <v>-32.322999999999993</v>
      </c>
      <c r="O121" s="61">
        <v>-34.704000000000008</v>
      </c>
      <c r="P121" s="61">
        <v>-33.127999999999986</v>
      </c>
      <c r="Q121" s="61">
        <v>-36.97</v>
      </c>
      <c r="R121" s="61">
        <v>-34.12700000000001</v>
      </c>
      <c r="S121" s="61">
        <v>-32.533999999999992</v>
      </c>
      <c r="T121" s="61">
        <v>-33.287999999999982</v>
      </c>
      <c r="U121" s="61">
        <v>-33.594000000000051</v>
      </c>
      <c r="V121" s="61">
        <v>-33.847999999999956</v>
      </c>
      <c r="W121" s="61">
        <v>-36.427000000000021</v>
      </c>
      <c r="X121" s="61">
        <v>-35.615000000000009</v>
      </c>
      <c r="Y121" s="61">
        <v>-407.28800000000001</v>
      </c>
      <c r="AA121" s="61">
        <v>-428.39600000000002</v>
      </c>
      <c r="AB121" s="60">
        <v>21.11</v>
      </c>
      <c r="AD121" s="61">
        <v>-420.47199999999998</v>
      </c>
      <c r="AE121" s="60">
        <v>13.18</v>
      </c>
    </row>
    <row r="122" spans="1:31" ht="18" customHeight="1" x14ac:dyDescent="0.2">
      <c r="A122" s="30" t="s">
        <v>148</v>
      </c>
      <c r="B122" s="30" t="s">
        <v>18</v>
      </c>
      <c r="C122" s="4">
        <v>-1.0001338867318248</v>
      </c>
      <c r="D122" s="4">
        <v>-8.3375000000000004</v>
      </c>
      <c r="F122" s="106" t="s">
        <v>149</v>
      </c>
      <c r="H122" s="61">
        <v>-6.1559999999999997</v>
      </c>
      <c r="I122" s="61">
        <v>-8.5210000000000008</v>
      </c>
      <c r="J122" s="61">
        <v>-8.5210000000000008</v>
      </c>
      <c r="K122" s="86">
        <v>0</v>
      </c>
      <c r="L122" s="86">
        <v>-2.4</v>
      </c>
      <c r="M122" s="61">
        <v>0</v>
      </c>
      <c r="N122" s="61">
        <v>-0.2</v>
      </c>
      <c r="O122" s="61">
        <v>-0.33600000000000002</v>
      </c>
      <c r="P122" s="61">
        <v>0</v>
      </c>
      <c r="Q122" s="61">
        <v>-0.246</v>
      </c>
      <c r="R122" s="61">
        <v>0</v>
      </c>
      <c r="S122" s="61">
        <v>0</v>
      </c>
      <c r="T122" s="61">
        <v>0</v>
      </c>
      <c r="U122" s="61">
        <v>0</v>
      </c>
      <c r="V122" s="61">
        <v>0</v>
      </c>
      <c r="W122" s="61">
        <v>-11.79</v>
      </c>
      <c r="X122" s="61">
        <v>-9.8350000000000009</v>
      </c>
      <c r="Y122" s="61">
        <v>-22.407</v>
      </c>
      <c r="AA122" s="61">
        <v>0</v>
      </c>
      <c r="AB122" s="60">
        <v>-22.41</v>
      </c>
      <c r="AD122" s="61">
        <v>-2.4</v>
      </c>
      <c r="AE122" s="60">
        <v>-20.010000000000002</v>
      </c>
    </row>
    <row r="123" spans="1:31" ht="18" customHeight="1" x14ac:dyDescent="0.2">
      <c r="A123" s="30" t="s">
        <v>64</v>
      </c>
      <c r="B123" s="30" t="s">
        <v>18</v>
      </c>
      <c r="C123" s="4">
        <v>-6.5507711818006714E-2</v>
      </c>
      <c r="D123" s="4">
        <v>-1.4526917037910102E-2</v>
      </c>
      <c r="F123" s="106" t="s">
        <v>202</v>
      </c>
      <c r="H123" s="61">
        <v>-384.96899999999999</v>
      </c>
      <c r="I123" s="61">
        <v>-487.00200000000001</v>
      </c>
      <c r="J123" s="61">
        <v>-487.00200000000001</v>
      </c>
      <c r="K123" s="86">
        <v>-462.08300000000003</v>
      </c>
      <c r="L123" s="86">
        <v>-485.30599999999998</v>
      </c>
      <c r="M123" s="61">
        <v>-43.31</v>
      </c>
      <c r="N123" s="61">
        <v>-44.686999999999998</v>
      </c>
      <c r="O123" s="61">
        <v>-38.837000000000003</v>
      </c>
      <c r="P123" s="61">
        <v>-45.587999999999994</v>
      </c>
      <c r="Q123" s="61">
        <v>-30.73599999999999</v>
      </c>
      <c r="R123" s="61">
        <v>-43.325000000000017</v>
      </c>
      <c r="S123" s="61">
        <v>-42.683999999999969</v>
      </c>
      <c r="T123" s="61">
        <v>-21.105000000000018</v>
      </c>
      <c r="U123" s="61">
        <v>-41.663000000000011</v>
      </c>
      <c r="V123" s="61">
        <v>-45.658000000000015</v>
      </c>
      <c r="W123" s="61">
        <v>-46.581999999999994</v>
      </c>
      <c r="X123" s="61">
        <v>-48.175999999999988</v>
      </c>
      <c r="Y123" s="61">
        <v>-492.351</v>
      </c>
      <c r="AA123" s="61">
        <v>-462.08300000000003</v>
      </c>
      <c r="AB123" s="60">
        <v>-30.27</v>
      </c>
      <c r="AD123" s="61">
        <v>-485.30599999999998</v>
      </c>
      <c r="AE123" s="60">
        <v>-7.05</v>
      </c>
    </row>
    <row r="124" spans="1:31" ht="18" hidden="1" customHeight="1" outlineLevel="1" x14ac:dyDescent="0.2">
      <c r="A124" s="30" t="s">
        <v>150</v>
      </c>
      <c r="B124" s="30" t="s">
        <v>18</v>
      </c>
      <c r="C124" s="4">
        <v>-41.273637374860954</v>
      </c>
      <c r="D124" s="4">
        <v>-0.47338425154111591</v>
      </c>
      <c r="F124" s="38" t="s">
        <v>151</v>
      </c>
      <c r="G124" s="34"/>
      <c r="H124" s="66">
        <v>-142.61600000000001</v>
      </c>
      <c r="I124" s="66">
        <v>-136.053</v>
      </c>
      <c r="J124" s="66">
        <v>-136.053</v>
      </c>
      <c r="K124" s="86">
        <v>-3.5960000000000001</v>
      </c>
      <c r="L124" s="86">
        <v>-103.172</v>
      </c>
      <c r="M124" s="66">
        <v>-16.327999999999999</v>
      </c>
      <c r="N124" s="66">
        <v>-12.467000000000002</v>
      </c>
      <c r="O124" s="66">
        <v>-9.0180000000000007</v>
      </c>
      <c r="P124" s="66">
        <v>-7.0049999999999955</v>
      </c>
      <c r="Q124" s="66">
        <v>-10.838999999999999</v>
      </c>
      <c r="R124" s="66">
        <v>-9.5060000000000002</v>
      </c>
      <c r="S124" s="66">
        <v>-2.2220000000000084</v>
      </c>
      <c r="T124" s="66">
        <v>-4.8569999999999993</v>
      </c>
      <c r="U124" s="66">
        <v>-13.521999999999991</v>
      </c>
      <c r="V124" s="66">
        <v>-19.451000000000008</v>
      </c>
      <c r="W124" s="66">
        <v>-32.489000000000004</v>
      </c>
      <c r="X124" s="66">
        <v>-14.310000000000002</v>
      </c>
      <c r="Y124" s="66">
        <v>-152.01400000000001</v>
      </c>
      <c r="Z124" s="34"/>
      <c r="AA124" s="66">
        <v>-3.5960000000000001</v>
      </c>
      <c r="AB124" s="60">
        <v>-148.41999999999999</v>
      </c>
      <c r="AC124" s="34"/>
      <c r="AD124" s="66">
        <v>-103.17199999999998</v>
      </c>
      <c r="AE124" s="60">
        <v>-48.84</v>
      </c>
    </row>
    <row r="125" spans="1:31" ht="18" hidden="1" customHeight="1" outlineLevel="1" x14ac:dyDescent="0.2">
      <c r="A125" s="30" t="s">
        <v>168</v>
      </c>
      <c r="B125" s="30" t="s">
        <v>18</v>
      </c>
      <c r="C125" s="4">
        <v>0.2164524766728077</v>
      </c>
      <c r="D125" s="4">
        <v>0.21204302365701083</v>
      </c>
      <c r="F125" s="38" t="s">
        <v>169</v>
      </c>
      <c r="G125" s="34"/>
      <c r="H125" s="66">
        <v>-95.236999999999995</v>
      </c>
      <c r="I125" s="66">
        <v>-109.53</v>
      </c>
      <c r="J125" s="66">
        <v>-109.53</v>
      </c>
      <c r="K125" s="86">
        <v>-134.071</v>
      </c>
      <c r="L125" s="86">
        <v>-133.322</v>
      </c>
      <c r="M125" s="66">
        <v>-7.4240000000000004</v>
      </c>
      <c r="N125" s="66">
        <v>-8.5599999999999987</v>
      </c>
      <c r="O125" s="66">
        <v>-8.6950000000000003</v>
      </c>
      <c r="P125" s="66">
        <v>-9.0410000000000004</v>
      </c>
      <c r="Q125" s="66">
        <v>-9.1210000000000022</v>
      </c>
      <c r="R125" s="66">
        <v>-8.1880000000000024</v>
      </c>
      <c r="S125" s="66">
        <v>-7.9229999999999947</v>
      </c>
      <c r="T125" s="66">
        <v>-8.3400000000000034</v>
      </c>
      <c r="U125" s="66">
        <v>-8.4899999999999949</v>
      </c>
      <c r="V125" s="66">
        <v>-8.2480000000000047</v>
      </c>
      <c r="W125" s="66">
        <v>-9.7630000000000052</v>
      </c>
      <c r="X125" s="66">
        <v>-11.262</v>
      </c>
      <c r="Y125" s="66">
        <v>-105.05500000000001</v>
      </c>
      <c r="Z125" s="34"/>
      <c r="AA125" s="66">
        <v>-134.071</v>
      </c>
      <c r="AB125" s="60">
        <v>29.02</v>
      </c>
      <c r="AC125" s="34"/>
      <c r="AD125" s="66">
        <v>-133.322</v>
      </c>
      <c r="AE125" s="60">
        <v>28.27</v>
      </c>
    </row>
    <row r="126" spans="1:31" ht="18" hidden="1" customHeight="1" outlineLevel="1" x14ac:dyDescent="0.2">
      <c r="A126" s="30" t="s">
        <v>170</v>
      </c>
      <c r="B126" s="30" t="s">
        <v>18</v>
      </c>
      <c r="C126" s="4">
        <v>-0.11871508379888268</v>
      </c>
      <c r="D126" s="4">
        <v>-2.6508972267536703E-2</v>
      </c>
      <c r="F126" s="38" t="s">
        <v>171</v>
      </c>
      <c r="G126" s="34"/>
      <c r="H126" s="66">
        <v>-24.626999999999999</v>
      </c>
      <c r="I126" s="66">
        <v>-29.521000000000001</v>
      </c>
      <c r="J126" s="66">
        <v>-29.521000000000001</v>
      </c>
      <c r="K126" s="86">
        <v>-31.504000000000001</v>
      </c>
      <c r="L126" s="86">
        <v>-34.328000000000003</v>
      </c>
      <c r="M126" s="66">
        <v>-5.1219999999999999</v>
      </c>
      <c r="N126" s="66">
        <v>-2.7610000000000001</v>
      </c>
      <c r="O126" s="66">
        <v>-2.9569999999999999</v>
      </c>
      <c r="P126" s="66">
        <v>-1.870000000000001</v>
      </c>
      <c r="Q126" s="66">
        <v>-3.2319999999999993</v>
      </c>
      <c r="R126" s="66">
        <v>-2.3309999999999995</v>
      </c>
      <c r="S126" s="66">
        <v>-1.333000000000002</v>
      </c>
      <c r="T126" s="66">
        <v>0</v>
      </c>
      <c r="U126" s="66">
        <v>-6.5879999999999974</v>
      </c>
      <c r="V126" s="66">
        <v>-3.0850000000000009</v>
      </c>
      <c r="W126" s="66">
        <v>-4.0229999999999997</v>
      </c>
      <c r="X126" s="66">
        <v>-1.9369999999999976</v>
      </c>
      <c r="Y126" s="66">
        <v>-35.238999999999997</v>
      </c>
      <c r="Z126" s="34"/>
      <c r="AA126" s="66">
        <v>-31.504000000000001</v>
      </c>
      <c r="AB126" s="60">
        <v>-3.74</v>
      </c>
      <c r="AC126" s="34"/>
      <c r="AD126" s="66">
        <v>-34.328000000000003</v>
      </c>
      <c r="AE126" s="60">
        <v>-0.91</v>
      </c>
    </row>
    <row r="127" spans="1:31" ht="18" customHeight="1" collapsed="1" x14ac:dyDescent="0.2">
      <c r="A127" s="35"/>
      <c r="B127" s="35"/>
      <c r="C127" s="4">
        <v>-0.72790253648675018</v>
      </c>
      <c r="D127" s="4">
        <v>-7.935101284238355E-2</v>
      </c>
      <c r="F127" s="106" t="s">
        <v>151</v>
      </c>
      <c r="H127" s="61">
        <v>-262.48</v>
      </c>
      <c r="I127" s="61">
        <v>-275.10399999999998</v>
      </c>
      <c r="J127" s="61">
        <v>-275.10399999999998</v>
      </c>
      <c r="K127" s="86">
        <v>-169.17099999999999</v>
      </c>
      <c r="L127" s="86">
        <v>-270.822</v>
      </c>
      <c r="M127" s="61">
        <v>-28.873999999999999</v>
      </c>
      <c r="N127" s="61">
        <v>-23.788</v>
      </c>
      <c r="O127" s="61">
        <v>-20.67</v>
      </c>
      <c r="P127" s="61">
        <v>-17.915999999999997</v>
      </c>
      <c r="Q127" s="61">
        <v>-23.192</v>
      </c>
      <c r="R127" s="61">
        <v>-20.025000000000002</v>
      </c>
      <c r="S127" s="61">
        <v>-11.478000000000005</v>
      </c>
      <c r="T127" s="61">
        <v>-13.197000000000003</v>
      </c>
      <c r="U127" s="61">
        <v>-28.599999999999984</v>
      </c>
      <c r="V127" s="61">
        <v>-30.784000000000013</v>
      </c>
      <c r="W127" s="61">
        <v>-46.275000000000006</v>
      </c>
      <c r="X127" s="61">
        <v>-27.509</v>
      </c>
      <c r="Y127" s="61">
        <v>-292.30799999999999</v>
      </c>
      <c r="AA127" s="61">
        <v>-169.17099999999999</v>
      </c>
      <c r="AB127" s="60">
        <v>-123.14</v>
      </c>
      <c r="AD127" s="61">
        <v>-270.822</v>
      </c>
      <c r="AE127" s="60">
        <v>-21.49</v>
      </c>
    </row>
    <row r="128" spans="1:31" ht="18" customHeight="1" collapsed="1" x14ac:dyDescent="0.2">
      <c r="A128" s="30" t="s">
        <v>146</v>
      </c>
      <c r="B128" s="30" t="s">
        <v>18</v>
      </c>
      <c r="C128" s="4">
        <v>0.19081994187820966</v>
      </c>
      <c r="D128" s="4">
        <v>4.6294848134129929E-2</v>
      </c>
      <c r="F128" s="106" t="s">
        <v>147</v>
      </c>
      <c r="H128" s="61">
        <v>-77.905000000000001</v>
      </c>
      <c r="I128" s="61">
        <v>-64.617000000000004</v>
      </c>
      <c r="J128" s="61">
        <v>-64.617000000000004</v>
      </c>
      <c r="K128" s="86">
        <v>-75.358999999999995</v>
      </c>
      <c r="L128" s="86">
        <v>-63.938000000000002</v>
      </c>
      <c r="M128" s="61">
        <v>-2.597</v>
      </c>
      <c r="N128" s="61">
        <v>-4.5999999999999996</v>
      </c>
      <c r="O128" s="61">
        <v>-4.5970000000000013</v>
      </c>
      <c r="P128" s="61">
        <v>-8.597999999999999</v>
      </c>
      <c r="Q128" s="61">
        <v>-4.6009999999999991</v>
      </c>
      <c r="R128" s="61">
        <v>-1.6330000000000027</v>
      </c>
      <c r="S128" s="61">
        <v>-2.4879999999999995</v>
      </c>
      <c r="T128" s="61">
        <v>-6.4370000000000012</v>
      </c>
      <c r="U128" s="61">
        <v>-4.4369999999999976</v>
      </c>
      <c r="V128" s="61">
        <v>-10.625999999999998</v>
      </c>
      <c r="W128" s="61">
        <v>-13.085000000000001</v>
      </c>
      <c r="X128" s="61">
        <v>2.7209999999999965</v>
      </c>
      <c r="Y128" s="61">
        <v>-60.978000000000002</v>
      </c>
      <c r="AA128" s="61">
        <v>-75.358999999999995</v>
      </c>
      <c r="AB128" s="60">
        <v>14.38</v>
      </c>
      <c r="AD128" s="61">
        <v>-63.938000000000009</v>
      </c>
      <c r="AE128" s="60">
        <v>2.96</v>
      </c>
    </row>
    <row r="129" spans="1:39" ht="18" hidden="1" customHeight="1" outlineLevel="1" x14ac:dyDescent="0.2">
      <c r="A129" s="30" t="s">
        <v>154</v>
      </c>
      <c r="B129" s="30" t="s">
        <v>18</v>
      </c>
      <c r="C129" s="4">
        <v>-0.16141815786829797</v>
      </c>
      <c r="D129" s="4">
        <v>7.0572260634971684E-2</v>
      </c>
      <c r="F129" s="38" t="s">
        <v>155</v>
      </c>
      <c r="G129" s="34"/>
      <c r="H129" s="66">
        <v>-92.977000000000004</v>
      </c>
      <c r="I129" s="66">
        <v>-35.67</v>
      </c>
      <c r="J129" s="66">
        <v>-35.67</v>
      </c>
      <c r="K129" s="86">
        <v>-89.581000000000003</v>
      </c>
      <c r="L129" s="86">
        <v>-111.94199999999999</v>
      </c>
      <c r="M129" s="66">
        <v>2</v>
      </c>
      <c r="N129" s="66">
        <v>1.0150000000000001</v>
      </c>
      <c r="O129" s="66">
        <v>-8.048</v>
      </c>
      <c r="P129" s="66">
        <v>-5.5200000000000014</v>
      </c>
      <c r="Q129" s="66">
        <v>-9.3079999999999998</v>
      </c>
      <c r="R129" s="66">
        <v>-5.3140000000000001</v>
      </c>
      <c r="S129" s="66">
        <v>-9.9250000000000007</v>
      </c>
      <c r="T129" s="66">
        <v>-11.863</v>
      </c>
      <c r="U129" s="66">
        <v>-29.835000000000001</v>
      </c>
      <c r="V129" s="66">
        <v>-18.164000000000001</v>
      </c>
      <c r="W129" s="66">
        <v>-7.0919999999999987</v>
      </c>
      <c r="X129" s="66">
        <v>-1.9860000000000042</v>
      </c>
      <c r="Y129" s="66">
        <v>-104.04</v>
      </c>
      <c r="Z129" s="34"/>
      <c r="AA129" s="66">
        <v>-89.581000000000003</v>
      </c>
      <c r="AB129" s="60">
        <v>-14.46</v>
      </c>
      <c r="AC129" s="34"/>
      <c r="AD129" s="66">
        <v>-111.94199999999999</v>
      </c>
      <c r="AE129" s="60">
        <v>7.9</v>
      </c>
    </row>
    <row r="130" spans="1:39" ht="18" hidden="1" customHeight="1" outlineLevel="1" x14ac:dyDescent="0.2">
      <c r="A130" s="30" t="s">
        <v>156</v>
      </c>
      <c r="B130" s="30" t="s">
        <v>18</v>
      </c>
      <c r="C130" s="4">
        <v>-1.0876957249019661</v>
      </c>
      <c r="D130" s="4">
        <v>1.5007633192744585E-2</v>
      </c>
      <c r="F130" s="38" t="s">
        <v>157</v>
      </c>
      <c r="G130" s="34"/>
      <c r="H130" s="66">
        <v>-119.458</v>
      </c>
      <c r="I130" s="66">
        <v>-64.546999999999997</v>
      </c>
      <c r="J130" s="66">
        <v>-64.546999999999997</v>
      </c>
      <c r="K130" s="86">
        <v>-72.933999999999997</v>
      </c>
      <c r="L130" s="86">
        <v>-154.58799999999999</v>
      </c>
      <c r="M130" s="66">
        <v>-12.444000000000001</v>
      </c>
      <c r="N130" s="66">
        <v>-7.9030000000000005</v>
      </c>
      <c r="O130" s="66">
        <v>-51.561</v>
      </c>
      <c r="P130" s="66">
        <v>-28.587999999999994</v>
      </c>
      <c r="Q130" s="66">
        <v>-20.507000000000005</v>
      </c>
      <c r="R130" s="66">
        <v>-11.503</v>
      </c>
      <c r="S130" s="66">
        <v>-5.7439999999999998</v>
      </c>
      <c r="T130" s="66">
        <v>-3.578000000000003</v>
      </c>
      <c r="U130" s="66">
        <v>-2.1999999999999886</v>
      </c>
      <c r="V130" s="66">
        <v>0.63800000000000523</v>
      </c>
      <c r="W130" s="66">
        <v>-4.3070000000000164</v>
      </c>
      <c r="X130" s="66">
        <v>-4.5699999999999932</v>
      </c>
      <c r="Y130" s="66">
        <v>-152.267</v>
      </c>
      <c r="Z130" s="34"/>
      <c r="AA130" s="66">
        <v>-72.933999999999997</v>
      </c>
      <c r="AB130" s="60">
        <v>-79.33</v>
      </c>
      <c r="AC130" s="34"/>
      <c r="AD130" s="66">
        <v>-154.58799999999999</v>
      </c>
      <c r="AE130" s="60">
        <v>2.3199999999999998</v>
      </c>
    </row>
    <row r="131" spans="1:39" ht="18" hidden="1" customHeight="1" outlineLevel="1" x14ac:dyDescent="0.2">
      <c r="A131" s="30" t="s">
        <v>160</v>
      </c>
      <c r="B131" s="30" t="s">
        <v>18</v>
      </c>
      <c r="C131" s="4">
        <v>1.0005422993492408</v>
      </c>
      <c r="D131" s="4">
        <v>1.0005422993492408</v>
      </c>
      <c r="F131" s="38" t="s">
        <v>161</v>
      </c>
      <c r="G131" s="34"/>
      <c r="H131" s="66">
        <v>10.974</v>
      </c>
      <c r="I131" s="66">
        <v>12.874000000000001</v>
      </c>
      <c r="J131" s="66">
        <v>12.874000000000001</v>
      </c>
      <c r="K131" s="86">
        <v>0</v>
      </c>
      <c r="L131" s="8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3.6880000000000002</v>
      </c>
      <c r="X131" s="66">
        <v>0</v>
      </c>
      <c r="Y131" s="66">
        <v>3.6880000000000002</v>
      </c>
      <c r="Z131" s="34"/>
      <c r="AA131" s="66">
        <v>0</v>
      </c>
      <c r="AB131" s="60">
        <v>3.69</v>
      </c>
      <c r="AC131" s="34"/>
      <c r="AD131" s="66">
        <v>0</v>
      </c>
      <c r="AE131" s="60">
        <v>3.69</v>
      </c>
    </row>
    <row r="132" spans="1:39" ht="18" customHeight="1" collapsed="1" x14ac:dyDescent="0.2">
      <c r="A132" s="35"/>
      <c r="B132" s="35"/>
      <c r="C132" s="4">
        <v>-0.55441036212041972</v>
      </c>
      <c r="D132" s="4">
        <v>5.2189246989081908E-2</v>
      </c>
      <c r="F132" s="106" t="s">
        <v>378</v>
      </c>
      <c r="H132" s="61">
        <v>-201.46100000000001</v>
      </c>
      <c r="I132" s="61">
        <v>-87.343000000000004</v>
      </c>
      <c r="J132" s="61">
        <v>-87.343000000000004</v>
      </c>
      <c r="K132" s="86">
        <v>-162.51499999999999</v>
      </c>
      <c r="L132" s="86">
        <v>-266.52999999999997</v>
      </c>
      <c r="M132" s="61">
        <v>-10.444000000000001</v>
      </c>
      <c r="N132" s="61">
        <v>-6.8879999999999999</v>
      </c>
      <c r="O132" s="61">
        <v>-59.609000000000002</v>
      </c>
      <c r="P132" s="61">
        <v>-34.107999999999997</v>
      </c>
      <c r="Q132" s="61">
        <v>-29.815000000000005</v>
      </c>
      <c r="R132" s="61">
        <v>-16.817</v>
      </c>
      <c r="S132" s="61">
        <v>-15.669</v>
      </c>
      <c r="T132" s="61">
        <v>-15.441000000000003</v>
      </c>
      <c r="U132" s="61">
        <v>-32.034999999999989</v>
      </c>
      <c r="V132" s="61">
        <v>-17.525999999999996</v>
      </c>
      <c r="W132" s="61">
        <v>-7.7110000000000145</v>
      </c>
      <c r="X132" s="61">
        <v>-6.5559999999999974</v>
      </c>
      <c r="Y132" s="61">
        <v>-252.61900000000003</v>
      </c>
      <c r="AA132" s="61">
        <v>-162.51499999999999</v>
      </c>
      <c r="AB132" s="60">
        <v>-90.1</v>
      </c>
      <c r="AD132" s="61">
        <v>-266.52999999999997</v>
      </c>
      <c r="AE132" s="60">
        <v>13.91</v>
      </c>
    </row>
    <row r="133" spans="1:39" ht="18" hidden="1" customHeight="1" outlineLevel="1" x14ac:dyDescent="0.2">
      <c r="A133" s="30" t="s">
        <v>158</v>
      </c>
      <c r="B133" s="30" t="s">
        <v>18</v>
      </c>
      <c r="C133" s="4">
        <v>0.94537045516988716</v>
      </c>
      <c r="D133" s="4">
        <v>-0.93344155844155841</v>
      </c>
      <c r="F133" s="38" t="s">
        <v>159</v>
      </c>
      <c r="G133" s="34"/>
      <c r="H133" s="66">
        <v>-4.9800000000000004</v>
      </c>
      <c r="I133" s="66">
        <v>-4.1120000000000001</v>
      </c>
      <c r="J133" s="66">
        <v>-4.1120000000000001</v>
      </c>
      <c r="K133" s="86">
        <v>-43.676000000000002</v>
      </c>
      <c r="L133" s="86">
        <v>-1.232</v>
      </c>
      <c r="M133" s="66">
        <v>-0.45200000000000001</v>
      </c>
      <c r="N133" s="66">
        <v>-0.49399999999999994</v>
      </c>
      <c r="O133" s="66">
        <v>-0.16900000000000004</v>
      </c>
      <c r="P133" s="66">
        <v>-0.19599999999999995</v>
      </c>
      <c r="Q133" s="66">
        <v>0.69399999999999995</v>
      </c>
      <c r="R133" s="66">
        <v>-0.29200000000000004</v>
      </c>
      <c r="S133" s="66">
        <v>-0.22999999999999998</v>
      </c>
      <c r="T133" s="66">
        <v>-0.18199999999999994</v>
      </c>
      <c r="U133" s="66">
        <v>-0.246</v>
      </c>
      <c r="V133" s="66">
        <v>-0.29100000000000015</v>
      </c>
      <c r="W133" s="66">
        <v>-0.33599999999999985</v>
      </c>
      <c r="X133" s="66">
        <v>-0.18800000000000017</v>
      </c>
      <c r="Y133" s="66">
        <v>-2.3820000000000001</v>
      </c>
      <c r="Z133" s="34"/>
      <c r="AA133" s="66">
        <v>-43.676000000000009</v>
      </c>
      <c r="AB133" s="60">
        <v>41.29</v>
      </c>
      <c r="AC133" s="34"/>
      <c r="AD133" s="66">
        <v>-1.232</v>
      </c>
      <c r="AE133" s="60">
        <v>-1.1499999999999999</v>
      </c>
    </row>
    <row r="134" spans="1:39" ht="18" hidden="1" customHeight="1" outlineLevel="1" x14ac:dyDescent="0.2">
      <c r="A134" s="30" t="s">
        <v>152</v>
      </c>
      <c r="B134" s="30" t="s">
        <v>18</v>
      </c>
      <c r="C134" s="4">
        <v>-1</v>
      </c>
      <c r="D134" s="4">
        <v>-1</v>
      </c>
      <c r="F134" s="38" t="s">
        <v>153</v>
      </c>
      <c r="G134" s="34"/>
      <c r="H134" s="66">
        <v>-1.18</v>
      </c>
      <c r="I134" s="66">
        <v>-0.23499999999999999</v>
      </c>
      <c r="J134" s="66">
        <v>-0.23499999999999999</v>
      </c>
      <c r="K134" s="86">
        <v>0</v>
      </c>
      <c r="L134" s="86">
        <v>0</v>
      </c>
      <c r="M134" s="66">
        <v>0</v>
      </c>
      <c r="N134" s="66">
        <v>-0.1</v>
      </c>
      <c r="O134" s="66">
        <v>-8.8999999999999996E-2</v>
      </c>
      <c r="P134" s="66">
        <v>-2.3260000000000001</v>
      </c>
      <c r="Q134" s="66">
        <v>-2.5390000000000001</v>
      </c>
      <c r="R134" s="66">
        <v>-0.40499999999999936</v>
      </c>
      <c r="S134" s="66">
        <v>-7.0000000000000284E-2</v>
      </c>
      <c r="T134" s="66">
        <v>0</v>
      </c>
      <c r="U134" s="66">
        <v>0</v>
      </c>
      <c r="V134" s="66">
        <v>0.5569999999999995</v>
      </c>
      <c r="W134" s="66">
        <v>0</v>
      </c>
      <c r="X134" s="66">
        <v>-0.29799999999999915</v>
      </c>
      <c r="Y134" s="66">
        <v>-5.27</v>
      </c>
      <c r="Z134" s="34"/>
      <c r="AA134" s="66">
        <v>0</v>
      </c>
      <c r="AB134" s="60">
        <v>-5.27</v>
      </c>
      <c r="AC134" s="34"/>
      <c r="AD134" s="66">
        <v>0</v>
      </c>
      <c r="AE134" s="60">
        <v>-5.27</v>
      </c>
    </row>
    <row r="135" spans="1:39" ht="18" hidden="1" customHeight="1" outlineLevel="1" x14ac:dyDescent="0.2">
      <c r="A135" s="30" t="s">
        <v>269</v>
      </c>
      <c r="B135" s="30" t="s">
        <v>18</v>
      </c>
      <c r="C135" s="4">
        <v>0</v>
      </c>
      <c r="D135" s="4">
        <v>0</v>
      </c>
      <c r="F135" s="38" t="s">
        <v>271</v>
      </c>
      <c r="G135" s="34"/>
      <c r="H135" s="66">
        <v>0</v>
      </c>
      <c r="I135" s="66">
        <v>0</v>
      </c>
      <c r="J135" s="66">
        <v>0</v>
      </c>
      <c r="K135" s="86">
        <v>0</v>
      </c>
      <c r="L135" s="8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34"/>
      <c r="AA135" s="66">
        <v>0</v>
      </c>
      <c r="AB135" s="60">
        <v>0</v>
      </c>
      <c r="AC135" s="34"/>
      <c r="AD135" s="66">
        <v>0</v>
      </c>
      <c r="AE135" s="60">
        <v>0</v>
      </c>
    </row>
    <row r="136" spans="1:39" ht="18" hidden="1" customHeight="1" outlineLevel="1" x14ac:dyDescent="0.2">
      <c r="A136" s="30" t="s">
        <v>270</v>
      </c>
      <c r="B136" s="30" t="s">
        <v>18</v>
      </c>
      <c r="C136" s="4">
        <v>0</v>
      </c>
      <c r="D136" s="4">
        <v>1</v>
      </c>
      <c r="F136" s="38" t="s">
        <v>272</v>
      </c>
      <c r="G136" s="34"/>
      <c r="H136" s="66">
        <v>-2.6</v>
      </c>
      <c r="I136" s="66">
        <v>0</v>
      </c>
      <c r="J136" s="66">
        <v>0</v>
      </c>
      <c r="K136" s="86">
        <v>0</v>
      </c>
      <c r="L136" s="86">
        <v>-1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34"/>
      <c r="AA136" s="66">
        <v>0</v>
      </c>
      <c r="AB136" s="60">
        <v>0</v>
      </c>
      <c r="AC136" s="34"/>
      <c r="AD136" s="66">
        <v>-1</v>
      </c>
      <c r="AE136" s="60">
        <v>1</v>
      </c>
    </row>
    <row r="137" spans="1:39" ht="18" hidden="1" customHeight="1" outlineLevel="1" x14ac:dyDescent="0.2">
      <c r="A137" s="30" t="s">
        <v>162</v>
      </c>
      <c r="B137" s="30" t="s">
        <v>18</v>
      </c>
      <c r="C137" s="4">
        <v>-0.99476439790575921</v>
      </c>
      <c r="D137" s="4">
        <v>0.24</v>
      </c>
      <c r="F137" s="38" t="s">
        <v>163</v>
      </c>
      <c r="G137" s="34"/>
      <c r="H137" s="66">
        <v>-0.72899999999999998</v>
      </c>
      <c r="I137" s="66">
        <v>-0.44900000000000001</v>
      </c>
      <c r="J137" s="66">
        <v>-0.44900000000000001</v>
      </c>
      <c r="K137" s="86">
        <v>0</v>
      </c>
      <c r="L137" s="86">
        <v>-1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-0.76400000000000001</v>
      </c>
      <c r="Y137" s="66">
        <v>-0.76400000000000001</v>
      </c>
      <c r="Z137" s="34"/>
      <c r="AA137" s="66">
        <v>0</v>
      </c>
      <c r="AB137" s="60">
        <v>-0.76</v>
      </c>
      <c r="AC137" s="34"/>
      <c r="AD137" s="66">
        <v>-1</v>
      </c>
      <c r="AE137" s="60">
        <v>0.24</v>
      </c>
    </row>
    <row r="138" spans="1:39" ht="18" hidden="1" customHeight="1" outlineLevel="1" x14ac:dyDescent="0.2">
      <c r="A138" s="30" t="s">
        <v>164</v>
      </c>
      <c r="B138" s="30" t="s">
        <v>18</v>
      </c>
      <c r="C138" s="4">
        <v>0</v>
      </c>
      <c r="D138" s="4">
        <v>1</v>
      </c>
      <c r="F138" s="38" t="s">
        <v>165</v>
      </c>
      <c r="G138" s="34"/>
      <c r="H138" s="66">
        <v>0</v>
      </c>
      <c r="I138" s="66">
        <v>0</v>
      </c>
      <c r="J138" s="66">
        <v>0</v>
      </c>
      <c r="K138" s="86">
        <v>0</v>
      </c>
      <c r="L138" s="86">
        <v>-3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34"/>
      <c r="AA138" s="66">
        <v>0</v>
      </c>
      <c r="AB138" s="60">
        <v>0</v>
      </c>
      <c r="AC138" s="34"/>
      <c r="AD138" s="66">
        <v>-3</v>
      </c>
      <c r="AE138" s="60">
        <v>3</v>
      </c>
    </row>
    <row r="139" spans="1:39" ht="18" hidden="1" customHeight="1" outlineLevel="1" x14ac:dyDescent="0.2">
      <c r="A139" s="30" t="s">
        <v>166</v>
      </c>
      <c r="B139" s="30" t="s">
        <v>18</v>
      </c>
      <c r="C139" s="4">
        <v>0</v>
      </c>
      <c r="D139" s="4">
        <v>0</v>
      </c>
      <c r="F139" s="38" t="s">
        <v>167</v>
      </c>
      <c r="G139" s="34"/>
      <c r="H139" s="66">
        <v>0</v>
      </c>
      <c r="I139" s="66">
        <v>0</v>
      </c>
      <c r="J139" s="66">
        <v>0</v>
      </c>
      <c r="K139" s="86">
        <v>0</v>
      </c>
      <c r="L139" s="8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34"/>
      <c r="AA139" s="66">
        <v>0</v>
      </c>
      <c r="AB139" s="60">
        <v>0</v>
      </c>
      <c r="AC139" s="34"/>
      <c r="AD139" s="66">
        <v>0</v>
      </c>
      <c r="AE139" s="60">
        <v>0</v>
      </c>
    </row>
    <row r="140" spans="1:39" ht="18" customHeight="1" collapsed="1" x14ac:dyDescent="0.2">
      <c r="A140" s="30" t="s">
        <v>408</v>
      </c>
      <c r="B140" s="30" t="s">
        <v>18</v>
      </c>
      <c r="C140" s="4"/>
      <c r="D140" s="4"/>
      <c r="F140" s="106" t="s">
        <v>409</v>
      </c>
      <c r="G140" s="34"/>
      <c r="H140" s="61">
        <v>-12.420999999999999</v>
      </c>
      <c r="I140" s="61">
        <v>-12.505000000000001</v>
      </c>
      <c r="J140" s="61">
        <v>-12.505000000000001</v>
      </c>
      <c r="K140" s="86">
        <v>0</v>
      </c>
      <c r="L140" s="86">
        <v>0</v>
      </c>
      <c r="M140" s="61">
        <v>0</v>
      </c>
      <c r="N140" s="61">
        <v>-3.177</v>
      </c>
      <c r="O140" s="61">
        <v>0</v>
      </c>
      <c r="P140" s="61">
        <v>0</v>
      </c>
      <c r="Q140" s="61">
        <v>-3.3290000000000002</v>
      </c>
      <c r="R140" s="61">
        <v>0</v>
      </c>
      <c r="S140" s="61">
        <v>0</v>
      </c>
      <c r="T140" s="61">
        <v>-2.9220000000000006</v>
      </c>
      <c r="U140" s="61">
        <v>0</v>
      </c>
      <c r="V140" s="61">
        <v>0</v>
      </c>
      <c r="W140" s="61">
        <v>-2.9779999999999998</v>
      </c>
      <c r="X140" s="61">
        <v>0</v>
      </c>
      <c r="Y140" s="61">
        <v>-12.406000000000001</v>
      </c>
      <c r="AA140" s="61">
        <v>0</v>
      </c>
      <c r="AB140" s="60">
        <v>-12.41</v>
      </c>
      <c r="AD140" s="61">
        <v>0</v>
      </c>
      <c r="AE140" s="60">
        <v>-12.41</v>
      </c>
      <c r="AM140" s="8"/>
    </row>
    <row r="141" spans="1:39" ht="18" customHeight="1" x14ac:dyDescent="0.2">
      <c r="A141" s="35"/>
      <c r="B141" s="35"/>
      <c r="C141" s="4">
        <v>0.80730836157157226</v>
      </c>
      <c r="D141" s="4">
        <v>-0.34980744544287551</v>
      </c>
      <c r="F141" s="106" t="s">
        <v>189</v>
      </c>
      <c r="H141" s="61">
        <v>-9.488999999999999</v>
      </c>
      <c r="I141" s="61">
        <v>-4.7960000000000003</v>
      </c>
      <c r="J141" s="61">
        <v>-4.7960000000000003</v>
      </c>
      <c r="K141" s="86">
        <v>-43.676000000000002</v>
      </c>
      <c r="L141" s="86">
        <v>-6.2320000000000002</v>
      </c>
      <c r="M141" s="61">
        <v>-0.45200000000000001</v>
      </c>
      <c r="N141" s="61">
        <v>-0.59399999999999997</v>
      </c>
      <c r="O141" s="61">
        <v>-0.25800000000000001</v>
      </c>
      <c r="P141" s="61">
        <v>-2.5220000000000002</v>
      </c>
      <c r="Q141" s="61">
        <v>-1.8450000000000002</v>
      </c>
      <c r="R141" s="61">
        <v>-0.6969999999999994</v>
      </c>
      <c r="S141" s="61">
        <v>-0.30000000000000027</v>
      </c>
      <c r="T141" s="61">
        <v>-0.18199999999999994</v>
      </c>
      <c r="U141" s="61">
        <v>-0.246</v>
      </c>
      <c r="V141" s="61">
        <v>0.26599999999999935</v>
      </c>
      <c r="W141" s="61">
        <v>-0.33599999999999985</v>
      </c>
      <c r="X141" s="61">
        <v>-1.2499999999999993</v>
      </c>
      <c r="Y141" s="61">
        <v>-8.4159999999999986</v>
      </c>
      <c r="AA141" s="61">
        <v>-43.676000000000009</v>
      </c>
      <c r="AB141" s="60">
        <v>35.26</v>
      </c>
      <c r="AD141" s="61">
        <v>-6.2320000000000002</v>
      </c>
      <c r="AE141" s="60">
        <v>-2.1800000000000002</v>
      </c>
    </row>
    <row r="142" spans="1:39" ht="18" customHeight="1" x14ac:dyDescent="0.2">
      <c r="A142" s="35"/>
      <c r="B142" s="35"/>
      <c r="C142" s="4">
        <v>-0.15476439009841933</v>
      </c>
      <c r="D142" s="4">
        <v>-2.1818301774757538E-2</v>
      </c>
      <c r="F142" s="95" t="s">
        <v>65</v>
      </c>
      <c r="H142" s="195">
        <v>-1301.5220000000002</v>
      </c>
      <c r="I142" s="195">
        <v>-1300.9450000000002</v>
      </c>
      <c r="J142" s="64">
        <v>-1300.9450000000002</v>
      </c>
      <c r="K142" s="89">
        <v>-1341.1999999999998</v>
      </c>
      <c r="L142" s="89">
        <v>-1515.7</v>
      </c>
      <c r="M142" s="64">
        <v>-116.407</v>
      </c>
      <c r="N142" s="64">
        <v>-116.25699999999999</v>
      </c>
      <c r="O142" s="64">
        <v>-159.01100000000002</v>
      </c>
      <c r="P142" s="64">
        <v>-141.85999999999996</v>
      </c>
      <c r="Q142" s="64">
        <v>-130.73400000000001</v>
      </c>
      <c r="R142" s="64">
        <v>-116.62400000000005</v>
      </c>
      <c r="S142" s="64">
        <v>-105.15299999999996</v>
      </c>
      <c r="T142" s="64">
        <v>-92.572000000000003</v>
      </c>
      <c r="U142" s="64">
        <v>-140.57500000000005</v>
      </c>
      <c r="V142" s="64">
        <v>-138.17600000000002</v>
      </c>
      <c r="W142" s="64">
        <v>-165.18400000000005</v>
      </c>
      <c r="X142" s="64">
        <v>-126.22000000000001</v>
      </c>
      <c r="Y142" s="64">
        <v>-1548.7729999999999</v>
      </c>
      <c r="AA142" s="64">
        <v>-1341.1999999999998</v>
      </c>
      <c r="AB142" s="60">
        <v>-207.57</v>
      </c>
      <c r="AD142" s="64">
        <v>-1515.7</v>
      </c>
      <c r="AE142" s="60">
        <v>-33.07</v>
      </c>
    </row>
    <row r="143" spans="1:39" ht="12.95" customHeight="1" x14ac:dyDescent="0.2">
      <c r="A143" s="35"/>
      <c r="B143" s="35"/>
      <c r="C143" s="4"/>
      <c r="D143" s="4"/>
      <c r="F143" s="39" t="s">
        <v>223</v>
      </c>
      <c r="H143" s="56">
        <v>5.4744623487439831E-2</v>
      </c>
      <c r="I143" s="56">
        <v>5.3310288874073943E-2</v>
      </c>
      <c r="J143" s="56">
        <v>5.3310288874073943E-2</v>
      </c>
      <c r="K143" s="109">
        <v>5.6445537946977466E-2</v>
      </c>
      <c r="L143" s="109">
        <v>6.2136663271431164E-2</v>
      </c>
      <c r="M143" s="56">
        <v>6.1027133947028064E-2</v>
      </c>
      <c r="N143" s="56">
        <v>5.9641944153876691E-2</v>
      </c>
      <c r="O143" s="56">
        <v>8.1383464126449909E-2</v>
      </c>
      <c r="P143" s="56">
        <v>6.561942031398886E-2</v>
      </c>
      <c r="Q143" s="56">
        <v>6.0300408893726828E-2</v>
      </c>
      <c r="R143" s="56">
        <v>5.4826282052788874E-2</v>
      </c>
      <c r="S143" s="56">
        <v>5.3200246287598896E-2</v>
      </c>
      <c r="T143" s="56">
        <v>4.528889699921676E-2</v>
      </c>
      <c r="U143" s="56">
        <v>6.8173970564557582E-2</v>
      </c>
      <c r="V143" s="56">
        <v>6.6404622410695044E-2</v>
      </c>
      <c r="W143" s="56">
        <v>7.6312933661837209E-2</v>
      </c>
      <c r="X143" s="56">
        <v>5.7219975946031405E-2</v>
      </c>
      <c r="Y143" s="56">
        <v>6.2446842851441579E-2</v>
      </c>
      <c r="AA143" s="56">
        <v>5.6445537946977466E-2</v>
      </c>
      <c r="AB143" s="57"/>
      <c r="AD143" s="56">
        <v>6.213666327143115E-2</v>
      </c>
      <c r="AE143" s="57"/>
    </row>
    <row r="144" spans="1:39" ht="6.95" customHeight="1" x14ac:dyDescent="0.2">
      <c r="C144" s="4"/>
      <c r="D144" s="4"/>
      <c r="F144" s="96"/>
      <c r="H144" s="16"/>
      <c r="I144" s="16"/>
      <c r="J144" s="16"/>
      <c r="K144" s="85"/>
      <c r="L144" s="85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AA144" s="16"/>
      <c r="AB144" s="20"/>
      <c r="AD144" s="16"/>
      <c r="AE144" s="20"/>
    </row>
    <row r="145" spans="1:31" ht="18" hidden="1" customHeight="1" outlineLevel="1" collapsed="1" x14ac:dyDescent="0.2">
      <c r="A145" s="35"/>
      <c r="B145" s="35"/>
      <c r="C145" s="4"/>
      <c r="D145" s="4"/>
      <c r="F145" s="97" t="s">
        <v>242</v>
      </c>
      <c r="H145" s="74">
        <v>-9.26</v>
      </c>
      <c r="I145" s="74">
        <v>8.4006799999999995</v>
      </c>
      <c r="J145" s="74">
        <v>8.4006799999999995</v>
      </c>
      <c r="K145" s="112">
        <v>6.2</v>
      </c>
      <c r="L145" s="112">
        <v>9.32</v>
      </c>
      <c r="M145" s="74">
        <v>7.6843200000000005</v>
      </c>
      <c r="N145" s="74">
        <v>8.9702400000000004</v>
      </c>
      <c r="O145" s="74">
        <v>13.49352</v>
      </c>
      <c r="P145" s="74">
        <v>12.17784</v>
      </c>
      <c r="Q145" s="74">
        <v>4.2923999999999971</v>
      </c>
      <c r="R145" s="74">
        <v>12.491760000000003</v>
      </c>
      <c r="S145" s="74">
        <v>12.846960000000006</v>
      </c>
      <c r="T145" s="74">
        <v>8.4599999999999991</v>
      </c>
      <c r="U145" s="74">
        <v>10.86503999999999</v>
      </c>
      <c r="V145" s="74">
        <v>5.4739199999999979</v>
      </c>
      <c r="W145" s="74">
        <v>14.814240000000002</v>
      </c>
      <c r="X145" s="74">
        <v>14.706959999999999</v>
      </c>
      <c r="Y145" s="74">
        <v>10.523099999999999</v>
      </c>
      <c r="AA145" s="74">
        <v>6.2</v>
      </c>
      <c r="AB145" s="73">
        <v>4.32</v>
      </c>
      <c r="AD145" s="74">
        <v>9.32</v>
      </c>
      <c r="AE145" s="73">
        <v>1.2</v>
      </c>
    </row>
    <row r="146" spans="1:31" ht="18" customHeight="1" collapsed="1" x14ac:dyDescent="0.2">
      <c r="A146" s="30" t="s">
        <v>79</v>
      </c>
      <c r="B146" s="30" t="s">
        <v>18</v>
      </c>
      <c r="C146" s="4">
        <v>-0.69729032258064516</v>
      </c>
      <c r="D146" s="4">
        <v>-0.12909871244635193</v>
      </c>
      <c r="F146" s="106" t="s">
        <v>83</v>
      </c>
      <c r="H146" s="61">
        <v>463</v>
      </c>
      <c r="I146" s="61">
        <v>-420.03399999999999</v>
      </c>
      <c r="J146" s="61">
        <v>-420.03399999999999</v>
      </c>
      <c r="K146" s="86">
        <v>-310</v>
      </c>
      <c r="L146" s="86">
        <v>-466</v>
      </c>
      <c r="M146" s="61">
        <v>-32.018000000000001</v>
      </c>
      <c r="N146" s="61">
        <v>-37.376000000000005</v>
      </c>
      <c r="O146" s="61">
        <v>-56.222999999999999</v>
      </c>
      <c r="P146" s="61">
        <v>-50.741</v>
      </c>
      <c r="Q146" s="61">
        <v>-17.884999999999991</v>
      </c>
      <c r="R146" s="61">
        <v>-52.049000000000007</v>
      </c>
      <c r="S146" s="61">
        <v>-53.529000000000025</v>
      </c>
      <c r="T146" s="61">
        <v>-35.25</v>
      </c>
      <c r="U146" s="61">
        <v>-45.270999999999958</v>
      </c>
      <c r="V146" s="61">
        <v>-22.807999999999993</v>
      </c>
      <c r="W146" s="61">
        <v>-61.725999999999999</v>
      </c>
      <c r="X146" s="61">
        <v>-61.278999999999996</v>
      </c>
      <c r="Y146" s="61">
        <v>-526.15499999999997</v>
      </c>
      <c r="AA146" s="61">
        <v>-310</v>
      </c>
      <c r="AB146" s="60">
        <v>-216.16</v>
      </c>
      <c r="AD146" s="61">
        <v>-466</v>
      </c>
      <c r="AE146" s="60">
        <v>-60.16</v>
      </c>
    </row>
    <row r="147" spans="1:31" ht="18" customHeight="1" x14ac:dyDescent="0.2">
      <c r="A147" s="30" t="s">
        <v>80</v>
      </c>
      <c r="B147" s="30" t="s">
        <v>18</v>
      </c>
      <c r="C147" s="4">
        <v>0.85692307692307701</v>
      </c>
      <c r="D147" s="4">
        <v>0.44144144144144143</v>
      </c>
      <c r="F147" s="106" t="s">
        <v>84</v>
      </c>
      <c r="H147" s="61">
        <v>-0.32900000000000001</v>
      </c>
      <c r="I147" s="61">
        <v>-11.000999999999999</v>
      </c>
      <c r="J147" s="61">
        <v>-11.000999999999999</v>
      </c>
      <c r="K147" s="86">
        <v>-13</v>
      </c>
      <c r="L147" s="86">
        <v>-3.33</v>
      </c>
      <c r="M147" s="61">
        <v>0</v>
      </c>
      <c r="N147" s="61">
        <v>-0.19800000000000001</v>
      </c>
      <c r="O147" s="61">
        <v>-0.40899999999999997</v>
      </c>
      <c r="P147" s="61">
        <v>-7.6000000000000068E-2</v>
      </c>
      <c r="Q147" s="61">
        <v>-1.1279999999999999</v>
      </c>
      <c r="R147" s="61">
        <v>0</v>
      </c>
      <c r="S147" s="61">
        <v>0</v>
      </c>
      <c r="T147" s="61">
        <v>0</v>
      </c>
      <c r="U147" s="61">
        <v>0</v>
      </c>
      <c r="V147" s="61">
        <v>0</v>
      </c>
      <c r="W147" s="61">
        <v>-1.0000000000000009E-2</v>
      </c>
      <c r="X147" s="61">
        <v>-4.3000000000000149E-2</v>
      </c>
      <c r="Y147" s="61">
        <v>-1.8640000000000001</v>
      </c>
      <c r="AA147" s="61">
        <v>-13</v>
      </c>
      <c r="AB147" s="60">
        <v>11.14</v>
      </c>
      <c r="AD147" s="61">
        <v>-3.33</v>
      </c>
      <c r="AE147" s="60">
        <v>1.47</v>
      </c>
    </row>
    <row r="148" spans="1:31" ht="18" customHeight="1" x14ac:dyDescent="0.2">
      <c r="A148" s="30" t="s">
        <v>81</v>
      </c>
      <c r="B148" s="30" t="s">
        <v>18</v>
      </c>
      <c r="C148" s="4">
        <v>-0.27544554455445547</v>
      </c>
      <c r="D148" s="4">
        <v>-6.4628099173553721E-2</v>
      </c>
      <c r="F148" s="106" t="s">
        <v>85</v>
      </c>
      <c r="H148" s="61">
        <v>-105.521</v>
      </c>
      <c r="I148" s="61">
        <v>-117.604</v>
      </c>
      <c r="J148" s="61">
        <v>-117.604</v>
      </c>
      <c r="K148" s="86">
        <v>-101</v>
      </c>
      <c r="L148" s="86">
        <v>-121</v>
      </c>
      <c r="M148" s="61">
        <v>-15.147</v>
      </c>
      <c r="N148" s="61">
        <v>-11.598999999999998</v>
      </c>
      <c r="O148" s="61">
        <v>-8.2029999999999994</v>
      </c>
      <c r="P148" s="61">
        <v>-9.8680000000000021</v>
      </c>
      <c r="Q148" s="61">
        <v>-8.3519999999999968</v>
      </c>
      <c r="R148" s="61">
        <v>-13.13600000000001</v>
      </c>
      <c r="S148" s="61">
        <v>-3.0739999999999981</v>
      </c>
      <c r="T148" s="61">
        <v>-11.940999999999988</v>
      </c>
      <c r="U148" s="61">
        <v>-7.5710000000000122</v>
      </c>
      <c r="V148" s="61">
        <v>-14.836999999999989</v>
      </c>
      <c r="W148" s="61">
        <v>-17.676000000000002</v>
      </c>
      <c r="X148" s="61">
        <v>-7.4190000000000111</v>
      </c>
      <c r="Y148" s="61">
        <v>-128.82300000000001</v>
      </c>
      <c r="AA148" s="61">
        <v>-101</v>
      </c>
      <c r="AB148" s="60">
        <v>-27.82</v>
      </c>
      <c r="AD148" s="61">
        <v>-121</v>
      </c>
      <c r="AE148" s="60">
        <v>-7.82</v>
      </c>
    </row>
    <row r="149" spans="1:31" ht="18" customHeight="1" x14ac:dyDescent="0.2">
      <c r="A149" s="30" t="s">
        <v>204</v>
      </c>
      <c r="B149" s="30" t="s">
        <v>18</v>
      </c>
      <c r="C149" s="4">
        <v>1.1831428571428571</v>
      </c>
      <c r="D149" s="4">
        <v>1.6371769383697812</v>
      </c>
      <c r="F149" s="104" t="s">
        <v>139</v>
      </c>
      <c r="G149" s="36"/>
      <c r="H149" s="65">
        <v>-80.277000000000001</v>
      </c>
      <c r="I149" s="65">
        <v>-40.609000000000002</v>
      </c>
      <c r="J149" s="65">
        <v>-40.609000000000002</v>
      </c>
      <c r="K149" s="65">
        <v>-70</v>
      </c>
      <c r="L149" s="65">
        <v>-20.12</v>
      </c>
      <c r="M149" s="65">
        <v>-7.4999999999999997E-2</v>
      </c>
      <c r="N149" s="65">
        <v>-9.6010000000000009</v>
      </c>
      <c r="O149" s="65">
        <v>9.7099999999999991</v>
      </c>
      <c r="P149" s="65">
        <v>4.8470000000000013</v>
      </c>
      <c r="Q149" s="65">
        <v>0.5</v>
      </c>
      <c r="R149" s="65">
        <v>-7.9570000000000007</v>
      </c>
      <c r="S149" s="65">
        <v>-11.844999999999999</v>
      </c>
      <c r="T149" s="65">
        <v>2.0220000000000002</v>
      </c>
      <c r="U149" s="65">
        <v>0</v>
      </c>
      <c r="V149" s="65">
        <v>-3.7350000000000012</v>
      </c>
      <c r="W149" s="65">
        <v>-6.8099999999999987</v>
      </c>
      <c r="X149" s="65">
        <v>35.768000000000001</v>
      </c>
      <c r="Y149" s="65">
        <v>12.824</v>
      </c>
      <c r="Z149" s="36"/>
      <c r="AA149" s="65">
        <v>-70</v>
      </c>
      <c r="AB149" s="60">
        <v>82.82</v>
      </c>
      <c r="AC149" s="36"/>
      <c r="AD149" s="65">
        <v>-20.12</v>
      </c>
      <c r="AE149" s="60">
        <v>32.94</v>
      </c>
    </row>
    <row r="150" spans="1:31" ht="18" customHeight="1" x14ac:dyDescent="0.2">
      <c r="A150" s="30" t="s">
        <v>82</v>
      </c>
      <c r="B150" s="30" t="s">
        <v>18</v>
      </c>
      <c r="C150" s="4">
        <v>-0.72558823529411764</v>
      </c>
      <c r="D150" s="4">
        <v>-2.8396143733567053E-2</v>
      </c>
      <c r="F150" s="106" t="s">
        <v>86</v>
      </c>
      <c r="H150" s="61">
        <v>-30.776</v>
      </c>
      <c r="I150" s="61">
        <v>-31.748999999999999</v>
      </c>
      <c r="J150" s="61">
        <v>-31.748999999999999</v>
      </c>
      <c r="K150" s="86">
        <v>-34</v>
      </c>
      <c r="L150" s="86">
        <v>-57.05</v>
      </c>
      <c r="M150" s="61">
        <v>-2.3889999999999998</v>
      </c>
      <c r="N150" s="61">
        <v>-14.670999999999999</v>
      </c>
      <c r="O150" s="61">
        <v>-12.046000000000003</v>
      </c>
      <c r="P150" s="61">
        <v>-2.4919999999999973</v>
      </c>
      <c r="Q150" s="61">
        <v>-0.49699999999999989</v>
      </c>
      <c r="R150" s="61">
        <v>-1.5910000000000011</v>
      </c>
      <c r="S150" s="61">
        <v>-0.75300000000000011</v>
      </c>
      <c r="T150" s="61">
        <v>-6.5030000000000001</v>
      </c>
      <c r="U150" s="61">
        <v>-2.5559999999999974</v>
      </c>
      <c r="V150" s="61">
        <v>-4.5260000000000034</v>
      </c>
      <c r="W150" s="61">
        <v>-7.4799999999999969</v>
      </c>
      <c r="X150" s="61">
        <v>-3.1670000000000016</v>
      </c>
      <c r="Y150" s="61">
        <v>-58.670999999999999</v>
      </c>
      <c r="AA150" s="61">
        <v>-34</v>
      </c>
      <c r="AB150" s="60">
        <v>-24.67</v>
      </c>
      <c r="AD150" s="61">
        <v>-57.04999999999999</v>
      </c>
      <c r="AE150" s="60">
        <v>-1.62</v>
      </c>
    </row>
    <row r="151" spans="1:31" ht="18" hidden="1" customHeight="1" outlineLevel="1" x14ac:dyDescent="0.2">
      <c r="A151" s="30" t="s">
        <v>140</v>
      </c>
      <c r="B151" s="30" t="s">
        <v>18</v>
      </c>
      <c r="C151" s="4">
        <v>0</v>
      </c>
      <c r="D151" s="4">
        <v>0</v>
      </c>
      <c r="F151" s="38" t="s">
        <v>141</v>
      </c>
      <c r="G151" s="34"/>
      <c r="H151" s="66">
        <v>0</v>
      </c>
      <c r="I151" s="66">
        <v>0</v>
      </c>
      <c r="J151" s="66">
        <v>0</v>
      </c>
      <c r="K151" s="86">
        <v>0</v>
      </c>
      <c r="L151" s="8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34"/>
      <c r="AA151" s="66">
        <v>0</v>
      </c>
      <c r="AB151" s="60">
        <v>0</v>
      </c>
      <c r="AC151" s="34"/>
      <c r="AD151" s="66">
        <v>0</v>
      </c>
      <c r="AE151" s="60">
        <v>0</v>
      </c>
    </row>
    <row r="152" spans="1:31" ht="18" hidden="1" customHeight="1" outlineLevel="1" x14ac:dyDescent="0.2">
      <c r="A152" s="30" t="s">
        <v>123</v>
      </c>
      <c r="B152" s="30" t="s">
        <v>18</v>
      </c>
      <c r="C152" s="4">
        <v>0</v>
      </c>
      <c r="D152" s="4">
        <v>0</v>
      </c>
      <c r="F152" s="38" t="s">
        <v>142</v>
      </c>
      <c r="G152" s="34"/>
      <c r="H152" s="66">
        <v>0</v>
      </c>
      <c r="I152" s="66">
        <v>0</v>
      </c>
      <c r="J152" s="66">
        <v>0</v>
      </c>
      <c r="K152" s="86">
        <v>0</v>
      </c>
      <c r="L152" s="8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34"/>
      <c r="AA152" s="66">
        <v>0</v>
      </c>
      <c r="AB152" s="60">
        <v>0</v>
      </c>
      <c r="AC152" s="34"/>
      <c r="AD152" s="66">
        <v>0</v>
      </c>
      <c r="AE152" s="60">
        <v>0</v>
      </c>
    </row>
    <row r="153" spans="1:31" ht="18" hidden="1" customHeight="1" outlineLevel="1" x14ac:dyDescent="0.2">
      <c r="A153" s="30" t="s">
        <v>124</v>
      </c>
      <c r="B153" s="30" t="s">
        <v>18</v>
      </c>
      <c r="C153" s="4">
        <v>0</v>
      </c>
      <c r="D153" s="4">
        <v>0</v>
      </c>
      <c r="F153" s="38" t="s">
        <v>143</v>
      </c>
      <c r="G153" s="34"/>
      <c r="H153" s="66">
        <v>0</v>
      </c>
      <c r="I153" s="66">
        <v>0</v>
      </c>
      <c r="J153" s="66">
        <v>0</v>
      </c>
      <c r="K153" s="86">
        <v>0</v>
      </c>
      <c r="L153" s="8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34"/>
      <c r="AA153" s="66">
        <v>0</v>
      </c>
      <c r="AB153" s="60">
        <v>0</v>
      </c>
      <c r="AC153" s="34"/>
      <c r="AD153" s="66">
        <v>0</v>
      </c>
      <c r="AE153" s="60">
        <v>0</v>
      </c>
    </row>
    <row r="154" spans="1:31" ht="18" hidden="1" customHeight="1" outlineLevel="1" x14ac:dyDescent="0.2">
      <c r="A154" s="30" t="s">
        <v>265</v>
      </c>
      <c r="B154" s="30" t="s">
        <v>18</v>
      </c>
      <c r="C154" s="4">
        <v>0</v>
      </c>
      <c r="D154" s="4">
        <v>0</v>
      </c>
      <c r="F154" s="38" t="s">
        <v>266</v>
      </c>
      <c r="G154" s="34"/>
      <c r="H154" s="66">
        <v>0</v>
      </c>
      <c r="I154" s="66">
        <v>0</v>
      </c>
      <c r="J154" s="66">
        <v>0</v>
      </c>
      <c r="K154" s="86">
        <v>0</v>
      </c>
      <c r="L154" s="8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34"/>
      <c r="AA154" s="66">
        <v>0</v>
      </c>
      <c r="AB154" s="60">
        <v>0</v>
      </c>
      <c r="AC154" s="34"/>
      <c r="AD154" s="66">
        <v>0</v>
      </c>
      <c r="AE154" s="60">
        <v>0</v>
      </c>
    </row>
    <row r="155" spans="1:31" ht="18" hidden="1" customHeight="1" outlineLevel="1" x14ac:dyDescent="0.2">
      <c r="A155" s="30" t="s">
        <v>144</v>
      </c>
      <c r="B155" s="30" t="s">
        <v>18</v>
      </c>
      <c r="C155" s="4">
        <v>0</v>
      </c>
      <c r="D155" s="4">
        <v>0</v>
      </c>
      <c r="F155" s="38" t="s">
        <v>145</v>
      </c>
      <c r="G155" s="34"/>
      <c r="H155" s="66">
        <v>0</v>
      </c>
      <c r="I155" s="66">
        <v>0</v>
      </c>
      <c r="J155" s="66">
        <v>0</v>
      </c>
      <c r="K155" s="86">
        <v>0</v>
      </c>
      <c r="L155" s="8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34"/>
      <c r="AA155" s="66">
        <v>0</v>
      </c>
      <c r="AB155" s="60">
        <v>0</v>
      </c>
      <c r="AC155" s="34"/>
      <c r="AD155" s="66">
        <v>0</v>
      </c>
      <c r="AE155" s="60">
        <v>0</v>
      </c>
    </row>
    <row r="156" spans="1:31" ht="18" customHeight="1" collapsed="1" x14ac:dyDescent="0.2">
      <c r="A156" s="35"/>
      <c r="B156" s="35"/>
      <c r="C156" s="4">
        <v>0</v>
      </c>
      <c r="D156" s="4">
        <v>0</v>
      </c>
      <c r="F156" s="106" t="s">
        <v>69</v>
      </c>
      <c r="H156" s="61">
        <v>0</v>
      </c>
      <c r="I156" s="61">
        <v>0</v>
      </c>
      <c r="J156" s="61">
        <v>0</v>
      </c>
      <c r="K156" s="86">
        <v>0</v>
      </c>
      <c r="L156" s="86">
        <v>0</v>
      </c>
      <c r="M156" s="61">
        <v>0</v>
      </c>
      <c r="N156" s="61">
        <v>0</v>
      </c>
      <c r="O156" s="61">
        <v>0</v>
      </c>
      <c r="P156" s="61">
        <v>0</v>
      </c>
      <c r="Q156" s="61">
        <v>0</v>
      </c>
      <c r="R156" s="61">
        <v>0</v>
      </c>
      <c r="S156" s="61">
        <v>0</v>
      </c>
      <c r="T156" s="61">
        <v>0</v>
      </c>
      <c r="U156" s="61">
        <v>0</v>
      </c>
      <c r="V156" s="61">
        <v>0</v>
      </c>
      <c r="W156" s="61">
        <v>0</v>
      </c>
      <c r="X156" s="61">
        <v>0</v>
      </c>
      <c r="Y156" s="61">
        <v>0</v>
      </c>
      <c r="AA156" s="61">
        <v>0</v>
      </c>
      <c r="AB156" s="60">
        <v>0</v>
      </c>
      <c r="AD156" s="61">
        <v>0</v>
      </c>
      <c r="AE156" s="60">
        <v>0</v>
      </c>
    </row>
    <row r="157" spans="1:31" ht="18" customHeight="1" x14ac:dyDescent="0.2">
      <c r="A157" s="35"/>
      <c r="B157" s="35"/>
      <c r="C157" s="4">
        <v>-0.33085227272727274</v>
      </c>
      <c r="D157" s="4">
        <v>-5.2719101123595513E-2</v>
      </c>
      <c r="F157" s="95" t="s">
        <v>276</v>
      </c>
      <c r="H157" s="64">
        <v>246.09699999999998</v>
      </c>
      <c r="I157" s="64">
        <v>-620.99700000000007</v>
      </c>
      <c r="J157" s="64">
        <v>-620.99700000000007</v>
      </c>
      <c r="K157" s="89">
        <v>-528</v>
      </c>
      <c r="L157" s="89">
        <v>-667.49999999999989</v>
      </c>
      <c r="M157" s="64">
        <v>-49.629000000000005</v>
      </c>
      <c r="N157" s="64">
        <v>-73.444999999999993</v>
      </c>
      <c r="O157" s="64">
        <v>-67.170999999999992</v>
      </c>
      <c r="P157" s="64">
        <v>-58.33</v>
      </c>
      <c r="Q157" s="64">
        <v>-27.361999999999988</v>
      </c>
      <c r="R157" s="64">
        <v>-74.733000000000033</v>
      </c>
      <c r="S157" s="64">
        <v>-69.201000000000022</v>
      </c>
      <c r="T157" s="64">
        <v>-51.67199999999999</v>
      </c>
      <c r="U157" s="64">
        <v>-55.397999999999968</v>
      </c>
      <c r="V157" s="64">
        <v>-45.905999999999985</v>
      </c>
      <c r="W157" s="64">
        <v>-93.701999999999998</v>
      </c>
      <c r="X157" s="64">
        <v>-36.140000000000015</v>
      </c>
      <c r="Y157" s="64">
        <v>-702.68900000000008</v>
      </c>
      <c r="AA157" s="64">
        <v>-528</v>
      </c>
      <c r="AB157" s="60">
        <v>-174.69</v>
      </c>
      <c r="AD157" s="64">
        <v>-667.49999999999989</v>
      </c>
      <c r="AE157" s="60">
        <v>-35.19</v>
      </c>
    </row>
    <row r="158" spans="1:31" ht="12.95" customHeight="1" x14ac:dyDescent="0.2">
      <c r="A158" s="35"/>
      <c r="B158" s="35"/>
      <c r="C158" s="4"/>
      <c r="D158" s="4"/>
      <c r="F158" s="39" t="s">
        <v>223</v>
      </c>
      <c r="H158" s="56">
        <v>-1.0351332982760551E-2</v>
      </c>
      <c r="I158" s="56">
        <v>2.5447293667244422E-2</v>
      </c>
      <c r="J158" s="56">
        <v>2.5447293667244422E-2</v>
      </c>
      <c r="K158" s="109">
        <v>2.2221327196543475E-2</v>
      </c>
      <c r="L158" s="109">
        <v>2.7364401091034038E-2</v>
      </c>
      <c r="M158" s="56">
        <v>2.601832905802105E-2</v>
      </c>
      <c r="N158" s="56">
        <v>3.7678613660953521E-2</v>
      </c>
      <c r="O158" s="56">
        <v>3.4378808188350277E-2</v>
      </c>
      <c r="P158" s="56">
        <v>2.6981395650042091E-2</v>
      </c>
      <c r="Q158" s="56">
        <v>1.2620586749813763E-2</v>
      </c>
      <c r="R158" s="56">
        <v>3.5132841753421858E-2</v>
      </c>
      <c r="S158" s="56">
        <v>3.5010986308979614E-2</v>
      </c>
      <c r="T158" s="56">
        <v>2.5279435312443591E-2</v>
      </c>
      <c r="U158" s="56">
        <v>2.6866097252963596E-2</v>
      </c>
      <c r="V158" s="56">
        <v>2.2061505589866297E-2</v>
      </c>
      <c r="W158" s="56">
        <v>4.3289147314397688E-2</v>
      </c>
      <c r="X158" s="56">
        <v>1.6383536132859894E-2</v>
      </c>
      <c r="Y158" s="56">
        <v>2.8332563620644624E-2</v>
      </c>
      <c r="AA158" s="56">
        <v>2.2221327196543475E-2</v>
      </c>
      <c r="AB158" s="57"/>
      <c r="AD158" s="56">
        <v>2.7364401091034034E-2</v>
      </c>
      <c r="AE158" s="57"/>
    </row>
    <row r="159" spans="1:31" ht="6.95" customHeight="1" x14ac:dyDescent="0.2">
      <c r="C159" s="4"/>
      <c r="D159" s="4"/>
      <c r="F159" s="96"/>
      <c r="H159" s="16"/>
      <c r="I159" s="16"/>
      <c r="J159" s="16"/>
      <c r="K159" s="85"/>
      <c r="L159" s="85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AA159" s="16"/>
      <c r="AB159" s="20"/>
      <c r="AD159" s="16"/>
      <c r="AE159" s="20"/>
    </row>
    <row r="160" spans="1:31" ht="18" customHeight="1" x14ac:dyDescent="0.2">
      <c r="A160" s="30" t="s">
        <v>89</v>
      </c>
      <c r="B160" s="30" t="s">
        <v>18</v>
      </c>
      <c r="C160" s="4">
        <v>0.22375</v>
      </c>
      <c r="D160" s="4">
        <v>1.4285714285714285E-2</v>
      </c>
      <c r="F160" s="106" t="s">
        <v>187</v>
      </c>
      <c r="H160" s="61">
        <v>-5.5060000000000002</v>
      </c>
      <c r="I160" s="61">
        <v>-16.097000000000001</v>
      </c>
      <c r="J160" s="61">
        <v>-16.097000000000001</v>
      </c>
      <c r="K160" s="86">
        <v>-8</v>
      </c>
      <c r="L160" s="86">
        <v>-6.3</v>
      </c>
      <c r="M160" s="61">
        <v>-0.13</v>
      </c>
      <c r="N160" s="61">
        <v>-0.33999999999999997</v>
      </c>
      <c r="O160" s="61">
        <v>-0.66500000000000004</v>
      </c>
      <c r="P160" s="61">
        <v>-0.43100000000000005</v>
      </c>
      <c r="Q160" s="61">
        <v>-1.0580000000000001</v>
      </c>
      <c r="R160" s="61">
        <v>-0.94499999999999984</v>
      </c>
      <c r="S160" s="61">
        <v>-0.15100000000000025</v>
      </c>
      <c r="T160" s="61">
        <v>-0.54299999999999971</v>
      </c>
      <c r="U160" s="61">
        <v>-0.65300000000000047</v>
      </c>
      <c r="V160" s="61">
        <v>-0.29499999999999993</v>
      </c>
      <c r="W160" s="61">
        <v>-0.9659999999999993</v>
      </c>
      <c r="X160" s="61">
        <v>-3.1000000000000583E-2</v>
      </c>
      <c r="Y160" s="61">
        <v>-6.2080000000000002</v>
      </c>
      <c r="AA160" s="61">
        <v>-8</v>
      </c>
      <c r="AB160" s="60">
        <v>1.79</v>
      </c>
      <c r="AD160" s="61">
        <v>-6.3</v>
      </c>
      <c r="AE160" s="60">
        <v>0.09</v>
      </c>
    </row>
    <row r="161" spans="1:31" ht="18" customHeight="1" x14ac:dyDescent="0.2">
      <c r="A161" s="30" t="s">
        <v>75</v>
      </c>
      <c r="B161" s="30" t="s">
        <v>18</v>
      </c>
      <c r="C161" s="4">
        <v>6.2580645161290319E-2</v>
      </c>
      <c r="D161" s="4">
        <v>0.23767051416579227</v>
      </c>
      <c r="F161" s="106" t="s">
        <v>94</v>
      </c>
      <c r="H161" s="61">
        <v>-8.0039999999999996</v>
      </c>
      <c r="I161" s="61">
        <v>-13.847</v>
      </c>
      <c r="J161" s="61">
        <v>-13.847</v>
      </c>
      <c r="K161" s="86">
        <v>-15.5</v>
      </c>
      <c r="L161" s="86">
        <v>-19.059999999999999</v>
      </c>
      <c r="M161" s="61">
        <v>-1.667</v>
      </c>
      <c r="N161" s="61">
        <v>-0.72399999999999998</v>
      </c>
      <c r="O161" s="61">
        <v>-2.34</v>
      </c>
      <c r="P161" s="61">
        <v>-1.5430000000000001</v>
      </c>
      <c r="Q161" s="61">
        <v>-0.51199999999999957</v>
      </c>
      <c r="R161" s="61">
        <v>-0.23100000000000076</v>
      </c>
      <c r="S161" s="61">
        <v>-2.5430000000000001</v>
      </c>
      <c r="T161" s="61">
        <v>-1.1749999999999989</v>
      </c>
      <c r="U161" s="61">
        <v>-1.9820000000000011</v>
      </c>
      <c r="V161" s="61">
        <v>-1.4349999999999987</v>
      </c>
      <c r="W161" s="61">
        <v>0.82599999999999874</v>
      </c>
      <c r="X161" s="61">
        <v>-1.2089999999999996</v>
      </c>
      <c r="Y161" s="61">
        <v>-14.535</v>
      </c>
      <c r="AA161" s="61">
        <v>-15.5</v>
      </c>
      <c r="AB161" s="60">
        <v>0.97</v>
      </c>
      <c r="AD161" s="61">
        <v>-19.059999999999999</v>
      </c>
      <c r="AE161" s="60">
        <v>4.53</v>
      </c>
    </row>
    <row r="162" spans="1:31" ht="18" customHeight="1" x14ac:dyDescent="0.2">
      <c r="A162" s="30" t="s">
        <v>91</v>
      </c>
      <c r="B162" s="30" t="s">
        <v>18</v>
      </c>
      <c r="C162" s="4">
        <v>0.17766561514195583</v>
      </c>
      <c r="D162" s="4">
        <v>1.5781922525107604E-2</v>
      </c>
      <c r="F162" s="106" t="s">
        <v>96</v>
      </c>
      <c r="H162" s="61">
        <v>-79.674999999999997</v>
      </c>
      <c r="I162" s="61">
        <v>-161.482</v>
      </c>
      <c r="J162" s="61">
        <v>-161.482</v>
      </c>
      <c r="K162" s="86">
        <v>-158.5</v>
      </c>
      <c r="L162" s="86">
        <v>-132.43</v>
      </c>
      <c r="M162" s="61">
        <v>-10.318</v>
      </c>
      <c r="N162" s="61">
        <v>-13.081000000000001</v>
      </c>
      <c r="O162" s="61">
        <v>-13.988999999999997</v>
      </c>
      <c r="P162" s="61">
        <v>-7.7890000000000015</v>
      </c>
      <c r="Q162" s="61">
        <v>-8.3419999999999987</v>
      </c>
      <c r="R162" s="61">
        <v>-9.4879999999999995</v>
      </c>
      <c r="S162" s="61">
        <v>-11.604999999999997</v>
      </c>
      <c r="T162" s="61">
        <v>-9.5750000000000028</v>
      </c>
      <c r="U162" s="61">
        <v>-13.576999999999998</v>
      </c>
      <c r="V162" s="61">
        <v>-10.427999999999997</v>
      </c>
      <c r="W162" s="61">
        <v>-9.9220000000000113</v>
      </c>
      <c r="X162" s="61">
        <v>-12.225999999999999</v>
      </c>
      <c r="Y162" s="61">
        <v>-130.34</v>
      </c>
      <c r="AA162" s="61">
        <v>-158.5</v>
      </c>
      <c r="AB162" s="60">
        <v>28.16</v>
      </c>
      <c r="AD162" s="61">
        <v>-132.43</v>
      </c>
      <c r="AE162" s="60">
        <v>2.09</v>
      </c>
    </row>
    <row r="163" spans="1:31" ht="18" customHeight="1" x14ac:dyDescent="0.2">
      <c r="A163" s="30" t="s">
        <v>74</v>
      </c>
      <c r="B163" s="30" t="s">
        <v>18</v>
      </c>
      <c r="C163" s="4">
        <v>0.15242966751918158</v>
      </c>
      <c r="D163" s="4">
        <v>0.1018970189701897</v>
      </c>
      <c r="F163" s="106" t="s">
        <v>97</v>
      </c>
      <c r="H163" s="61">
        <v>-35.293999999999997</v>
      </c>
      <c r="I163" s="61">
        <v>-36.488999999999997</v>
      </c>
      <c r="J163" s="61">
        <v>-36.488999999999997</v>
      </c>
      <c r="K163" s="86">
        <v>-39.1</v>
      </c>
      <c r="L163" s="86">
        <v>-36.9</v>
      </c>
      <c r="M163" s="61">
        <v>-2.613</v>
      </c>
      <c r="N163" s="61">
        <v>-2.746</v>
      </c>
      <c r="O163" s="61">
        <v>-2.7789999999999999</v>
      </c>
      <c r="P163" s="61">
        <v>-2.7780000000000005</v>
      </c>
      <c r="Q163" s="61">
        <v>-2.657</v>
      </c>
      <c r="R163" s="61">
        <v>-2.8090000000000011</v>
      </c>
      <c r="S163" s="61">
        <v>-3.0219999999999985</v>
      </c>
      <c r="T163" s="61">
        <v>-3.2330000000000005</v>
      </c>
      <c r="U163" s="61">
        <v>-3.2289999999999992</v>
      </c>
      <c r="V163" s="61">
        <v>-3.0249999999999986</v>
      </c>
      <c r="W163" s="61">
        <v>-2.3980000000000032</v>
      </c>
      <c r="X163" s="61">
        <v>-1.8489999999999966</v>
      </c>
      <c r="Y163" s="61">
        <v>-33.137999999999998</v>
      </c>
      <c r="AA163" s="61">
        <v>-39.1</v>
      </c>
      <c r="AB163" s="60">
        <v>5.96</v>
      </c>
      <c r="AD163" s="61">
        <v>-36.9</v>
      </c>
      <c r="AE163" s="60">
        <v>3.76</v>
      </c>
    </row>
    <row r="164" spans="1:31" ht="18" customHeight="1" x14ac:dyDescent="0.2">
      <c r="A164" s="30" t="s">
        <v>92</v>
      </c>
      <c r="B164" s="30" t="s">
        <v>18</v>
      </c>
      <c r="C164" s="4">
        <v>0.2776375567895002</v>
      </c>
      <c r="D164" s="4">
        <v>0.3987687141457954</v>
      </c>
      <c r="F164" s="106" t="s">
        <v>98</v>
      </c>
      <c r="H164" s="61">
        <v>-11.145</v>
      </c>
      <c r="I164" s="61">
        <v>-8.8960000000000008</v>
      </c>
      <c r="J164" s="61">
        <v>-8.8960000000000008</v>
      </c>
      <c r="K164" s="86">
        <v>-5.9429999999999996</v>
      </c>
      <c r="L164" s="86">
        <v>-7.1470000000000002</v>
      </c>
      <c r="M164" s="61">
        <v>-0.54300000000000004</v>
      </c>
      <c r="N164" s="61">
        <v>-0.5079999999999999</v>
      </c>
      <c r="O164" s="61">
        <v>-0.57800000000000007</v>
      </c>
      <c r="P164" s="61">
        <v>-0.42899999999999983</v>
      </c>
      <c r="Q164" s="61">
        <v>-0.26300000000000034</v>
      </c>
      <c r="R164" s="61">
        <v>-0.2589999999999999</v>
      </c>
      <c r="S164" s="61">
        <v>-0.25700000000000012</v>
      </c>
      <c r="T164" s="61">
        <v>-0.37999999999999989</v>
      </c>
      <c r="U164" s="61">
        <v>-0.28399999999999981</v>
      </c>
      <c r="V164" s="61">
        <v>-0.26900000000000013</v>
      </c>
      <c r="W164" s="61">
        <v>-0.26200000000000001</v>
      </c>
      <c r="X164" s="61">
        <v>-0.2629999999999999</v>
      </c>
      <c r="Y164" s="61">
        <v>-4.2949999999999999</v>
      </c>
      <c r="AA164" s="61">
        <v>-5.9430000000000005</v>
      </c>
      <c r="AB164" s="60">
        <v>1.65</v>
      </c>
      <c r="AD164" s="61">
        <v>-7.1470000000000011</v>
      </c>
      <c r="AE164" s="60">
        <v>2.85</v>
      </c>
    </row>
    <row r="165" spans="1:31" ht="18" customHeight="1" x14ac:dyDescent="0.2">
      <c r="A165" s="30" t="s">
        <v>125</v>
      </c>
      <c r="B165" s="30" t="s">
        <v>18</v>
      </c>
      <c r="C165" s="4">
        <v>0.99875000000000003</v>
      </c>
      <c r="D165" s="4">
        <v>0.995</v>
      </c>
      <c r="F165" s="106" t="s">
        <v>126</v>
      </c>
      <c r="H165" s="61">
        <v>-3.9390000000000001</v>
      </c>
      <c r="I165" s="61">
        <v>-4.1959999999999997</v>
      </c>
      <c r="J165" s="61">
        <v>-4.1959999999999997</v>
      </c>
      <c r="K165" s="86">
        <v>-8</v>
      </c>
      <c r="L165" s="86">
        <v>-2</v>
      </c>
      <c r="M165" s="61">
        <v>-1.2999999999999999E-2</v>
      </c>
      <c r="N165" s="61">
        <v>0</v>
      </c>
      <c r="O165" s="61">
        <v>0</v>
      </c>
      <c r="P165" s="61">
        <v>0</v>
      </c>
      <c r="Q165" s="61">
        <v>0</v>
      </c>
      <c r="R165" s="61">
        <v>0</v>
      </c>
      <c r="S165" s="61">
        <v>0</v>
      </c>
      <c r="T165" s="61">
        <v>0</v>
      </c>
      <c r="U165" s="61">
        <v>0</v>
      </c>
      <c r="V165" s="61">
        <v>0</v>
      </c>
      <c r="W165" s="61">
        <v>0</v>
      </c>
      <c r="X165" s="61">
        <v>0</v>
      </c>
      <c r="Y165" s="61">
        <v>-1.2999999999999999E-2</v>
      </c>
      <c r="AA165" s="61">
        <v>-8</v>
      </c>
      <c r="AB165" s="60">
        <v>7.99</v>
      </c>
      <c r="AD165" s="61">
        <v>-2</v>
      </c>
      <c r="AE165" s="60">
        <v>1.99</v>
      </c>
    </row>
    <row r="166" spans="1:31" ht="18" hidden="1" customHeight="1" outlineLevel="1" x14ac:dyDescent="0.2">
      <c r="A166" s="30" t="s">
        <v>73</v>
      </c>
      <c r="B166" s="30" t="s">
        <v>18</v>
      </c>
      <c r="C166" s="4">
        <v>0</v>
      </c>
      <c r="D166" s="4">
        <v>0</v>
      </c>
      <c r="F166" s="38" t="s">
        <v>72</v>
      </c>
      <c r="G166" s="34"/>
      <c r="H166" s="66">
        <v>0.35099999999999998</v>
      </c>
      <c r="I166" s="66">
        <v>0</v>
      </c>
      <c r="J166" s="66">
        <v>0</v>
      </c>
      <c r="K166" s="86">
        <v>0</v>
      </c>
      <c r="L166" s="8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34"/>
      <c r="AA166" s="66">
        <v>0</v>
      </c>
      <c r="AB166" s="60">
        <v>0</v>
      </c>
      <c r="AC166" s="34"/>
      <c r="AD166" s="66">
        <v>0</v>
      </c>
      <c r="AE166" s="60">
        <v>0</v>
      </c>
    </row>
    <row r="167" spans="1:31" ht="18" hidden="1" customHeight="1" outlineLevel="1" x14ac:dyDescent="0.2">
      <c r="A167" s="30" t="s">
        <v>129</v>
      </c>
      <c r="B167" s="30" t="s">
        <v>18</v>
      </c>
      <c r="C167" s="4">
        <v>-1</v>
      </c>
      <c r="D167" s="4">
        <v>0</v>
      </c>
      <c r="F167" s="38" t="s">
        <v>190</v>
      </c>
      <c r="G167" s="34"/>
      <c r="H167" s="66">
        <v>0</v>
      </c>
      <c r="I167" s="66">
        <v>0</v>
      </c>
      <c r="J167" s="66">
        <v>0</v>
      </c>
      <c r="K167" s="86">
        <v>1</v>
      </c>
      <c r="L167" s="8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34"/>
      <c r="AA167" s="66">
        <v>1</v>
      </c>
      <c r="AB167" s="60">
        <v>-1</v>
      </c>
      <c r="AC167" s="34"/>
      <c r="AD167" s="66">
        <v>0</v>
      </c>
      <c r="AE167" s="60">
        <v>0</v>
      </c>
    </row>
    <row r="168" spans="1:31" ht="18" hidden="1" customHeight="1" outlineLevel="1" x14ac:dyDescent="0.2">
      <c r="A168" s="30" t="s">
        <v>172</v>
      </c>
      <c r="B168" s="30" t="s">
        <v>18</v>
      </c>
      <c r="C168" s="4">
        <v>0</v>
      </c>
      <c r="D168" s="4">
        <v>0</v>
      </c>
      <c r="F168" s="38" t="s">
        <v>173</v>
      </c>
      <c r="G168" s="34"/>
      <c r="H168" s="66">
        <v>0</v>
      </c>
      <c r="I168" s="66">
        <v>0</v>
      </c>
      <c r="J168" s="66">
        <v>0</v>
      </c>
      <c r="K168" s="86">
        <v>0</v>
      </c>
      <c r="L168" s="86">
        <v>0</v>
      </c>
      <c r="M168" s="66">
        <v>0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34"/>
      <c r="AA168" s="66">
        <v>0</v>
      </c>
      <c r="AB168" s="60">
        <v>0</v>
      </c>
      <c r="AC168" s="34"/>
      <c r="AD168" s="66">
        <v>0</v>
      </c>
      <c r="AE168" s="60">
        <v>0</v>
      </c>
    </row>
    <row r="169" spans="1:31" ht="18" hidden="1" customHeight="1" outlineLevel="1" x14ac:dyDescent="0.2">
      <c r="A169" s="30" t="s">
        <v>88</v>
      </c>
      <c r="B169" s="30" t="s">
        <v>18</v>
      </c>
      <c r="C169" s="4">
        <v>0</v>
      </c>
      <c r="D169" s="4">
        <v>0</v>
      </c>
      <c r="F169" s="38" t="s">
        <v>93</v>
      </c>
      <c r="G169" s="34"/>
      <c r="H169" s="66">
        <v>0</v>
      </c>
      <c r="I169" s="66">
        <v>0</v>
      </c>
      <c r="J169" s="66">
        <v>0</v>
      </c>
      <c r="K169" s="86">
        <v>0</v>
      </c>
      <c r="L169" s="8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34"/>
      <c r="AA169" s="66">
        <v>0</v>
      </c>
      <c r="AB169" s="60">
        <v>0</v>
      </c>
      <c r="AC169" s="34"/>
      <c r="AD169" s="66">
        <v>0</v>
      </c>
      <c r="AE169" s="60">
        <v>0</v>
      </c>
    </row>
    <row r="170" spans="1:31" ht="18" hidden="1" customHeight="1" outlineLevel="1" x14ac:dyDescent="0.2">
      <c r="A170" s="30" t="s">
        <v>174</v>
      </c>
      <c r="B170" s="30" t="s">
        <v>18</v>
      </c>
      <c r="C170" s="4">
        <v>0</v>
      </c>
      <c r="D170" s="4">
        <v>0</v>
      </c>
      <c r="F170" s="38" t="s">
        <v>175</v>
      </c>
      <c r="G170" s="34"/>
      <c r="H170" s="66">
        <v>0</v>
      </c>
      <c r="I170" s="66">
        <v>0</v>
      </c>
      <c r="J170" s="66">
        <v>0</v>
      </c>
      <c r="K170" s="86">
        <v>0</v>
      </c>
      <c r="L170" s="8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34"/>
      <c r="AA170" s="66">
        <v>0</v>
      </c>
      <c r="AB170" s="60">
        <v>0</v>
      </c>
      <c r="AC170" s="34"/>
      <c r="AD170" s="66">
        <v>0</v>
      </c>
      <c r="AE170" s="60">
        <v>0</v>
      </c>
    </row>
    <row r="171" spans="1:31" ht="18" hidden="1" customHeight="1" outlineLevel="1" x14ac:dyDescent="0.2">
      <c r="A171" s="30" t="s">
        <v>130</v>
      </c>
      <c r="B171" s="30" t="s">
        <v>18</v>
      </c>
      <c r="C171" s="4">
        <v>0.46333333333333332</v>
      </c>
      <c r="D171" s="4">
        <v>0.19500000000000001</v>
      </c>
      <c r="F171" s="38" t="s">
        <v>176</v>
      </c>
      <c r="G171" s="34"/>
      <c r="H171" s="66">
        <v>-1.395</v>
      </c>
      <c r="I171" s="66">
        <v>-2.6</v>
      </c>
      <c r="J171" s="66">
        <v>-2.6</v>
      </c>
      <c r="K171" s="86">
        <v>-3</v>
      </c>
      <c r="L171" s="86">
        <v>-2</v>
      </c>
      <c r="M171" s="66">
        <v>0</v>
      </c>
      <c r="N171" s="66">
        <v>0</v>
      </c>
      <c r="O171" s="66">
        <v>0</v>
      </c>
      <c r="P171" s="66">
        <v>-0.9</v>
      </c>
      <c r="Q171" s="66">
        <v>0</v>
      </c>
      <c r="R171" s="66">
        <v>0</v>
      </c>
      <c r="S171" s="66">
        <v>0</v>
      </c>
      <c r="T171" s="66">
        <v>0</v>
      </c>
      <c r="U171" s="66">
        <v>-0.71299999999999997</v>
      </c>
      <c r="V171" s="66">
        <v>0</v>
      </c>
      <c r="W171" s="66">
        <v>0</v>
      </c>
      <c r="X171" s="66">
        <v>0</v>
      </c>
      <c r="Y171" s="66">
        <v>-1.613</v>
      </c>
      <c r="Z171" s="34"/>
      <c r="AA171" s="66">
        <v>-3</v>
      </c>
      <c r="AB171" s="60">
        <v>1.39</v>
      </c>
      <c r="AC171" s="34"/>
      <c r="AD171" s="66">
        <v>-2</v>
      </c>
      <c r="AE171" s="60">
        <v>0.39</v>
      </c>
    </row>
    <row r="172" spans="1:31" ht="18" hidden="1" customHeight="1" outlineLevel="1" x14ac:dyDescent="0.2">
      <c r="A172" s="30" t="s">
        <v>177</v>
      </c>
      <c r="B172" s="30" t="s">
        <v>18</v>
      </c>
      <c r="C172" s="4">
        <v>0</v>
      </c>
      <c r="D172" s="4">
        <v>0</v>
      </c>
      <c r="F172" s="38" t="s">
        <v>178</v>
      </c>
      <c r="G172" s="34"/>
      <c r="H172" s="66">
        <v>-3.5999999999999997E-2</v>
      </c>
      <c r="I172" s="66">
        <v>0</v>
      </c>
      <c r="J172" s="66">
        <v>0</v>
      </c>
      <c r="K172" s="86">
        <v>0</v>
      </c>
      <c r="L172" s="8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34"/>
      <c r="AA172" s="66">
        <v>0</v>
      </c>
      <c r="AB172" s="60">
        <v>0</v>
      </c>
      <c r="AC172" s="34"/>
      <c r="AD172" s="66">
        <v>0</v>
      </c>
      <c r="AE172" s="60">
        <v>0</v>
      </c>
    </row>
    <row r="173" spans="1:31" ht="18" hidden="1" customHeight="1" outlineLevel="1" x14ac:dyDescent="0.2">
      <c r="A173" s="30" t="s">
        <v>179</v>
      </c>
      <c r="B173" s="30" t="s">
        <v>18</v>
      </c>
      <c r="C173" s="4">
        <v>0</v>
      </c>
      <c r="D173" s="4">
        <v>0</v>
      </c>
      <c r="F173" s="38" t="s">
        <v>180</v>
      </c>
      <c r="G173" s="34"/>
      <c r="H173" s="66">
        <v>0</v>
      </c>
      <c r="I173" s="66">
        <v>0</v>
      </c>
      <c r="J173" s="66">
        <v>0</v>
      </c>
      <c r="K173" s="86">
        <v>0</v>
      </c>
      <c r="L173" s="8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34"/>
      <c r="AA173" s="66">
        <v>0</v>
      </c>
      <c r="AB173" s="60">
        <v>0</v>
      </c>
      <c r="AC173" s="34"/>
      <c r="AD173" s="66">
        <v>0</v>
      </c>
      <c r="AE173" s="60">
        <v>0</v>
      </c>
    </row>
    <row r="174" spans="1:31" ht="18" hidden="1" customHeight="1" outlineLevel="1" x14ac:dyDescent="0.2">
      <c r="A174" s="30" t="s">
        <v>78</v>
      </c>
      <c r="B174" s="30" t="s">
        <v>18</v>
      </c>
      <c r="C174" s="4">
        <v>0</v>
      </c>
      <c r="D174" s="4">
        <v>0</v>
      </c>
      <c r="F174" s="38" t="s">
        <v>77</v>
      </c>
      <c r="G174" s="34"/>
      <c r="H174" s="66">
        <v>0</v>
      </c>
      <c r="I174" s="66">
        <v>0</v>
      </c>
      <c r="J174" s="66">
        <v>0</v>
      </c>
      <c r="K174" s="86">
        <v>0</v>
      </c>
      <c r="L174" s="8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34"/>
      <c r="AA174" s="66">
        <v>0</v>
      </c>
      <c r="AB174" s="60">
        <v>0</v>
      </c>
      <c r="AC174" s="34"/>
      <c r="AD174" s="66">
        <v>0</v>
      </c>
      <c r="AE174" s="60">
        <v>0</v>
      </c>
    </row>
    <row r="175" spans="1:31" ht="18" hidden="1" customHeight="1" outlineLevel="1" x14ac:dyDescent="0.2">
      <c r="A175" s="30" t="s">
        <v>193</v>
      </c>
      <c r="B175" s="30" t="s">
        <v>18</v>
      </c>
      <c r="C175" s="4">
        <v>0</v>
      </c>
      <c r="D175" s="4">
        <v>0</v>
      </c>
      <c r="F175" s="38" t="s">
        <v>268</v>
      </c>
      <c r="G175" s="34"/>
      <c r="H175" s="66">
        <v>0</v>
      </c>
      <c r="I175" s="66">
        <v>0</v>
      </c>
      <c r="J175" s="66">
        <v>0</v>
      </c>
      <c r="K175" s="86">
        <v>0</v>
      </c>
      <c r="L175" s="8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34"/>
      <c r="AA175" s="66">
        <v>0</v>
      </c>
      <c r="AB175" s="60">
        <v>0</v>
      </c>
      <c r="AC175" s="34"/>
      <c r="AD175" s="66">
        <v>0</v>
      </c>
      <c r="AE175" s="60">
        <v>0</v>
      </c>
    </row>
    <row r="176" spans="1:31" ht="18" hidden="1" customHeight="1" outlineLevel="1" x14ac:dyDescent="0.2">
      <c r="A176" s="30" t="s">
        <v>181</v>
      </c>
      <c r="B176" s="30" t="s">
        <v>18</v>
      </c>
      <c r="C176" s="4">
        <v>0</v>
      </c>
      <c r="D176" s="4">
        <v>0</v>
      </c>
      <c r="F176" s="38" t="s">
        <v>182</v>
      </c>
      <c r="G176" s="34"/>
      <c r="H176" s="66">
        <v>0</v>
      </c>
      <c r="I176" s="66">
        <v>0</v>
      </c>
      <c r="J176" s="66">
        <v>0</v>
      </c>
      <c r="K176" s="86">
        <v>0</v>
      </c>
      <c r="L176" s="8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34"/>
      <c r="AA176" s="66">
        <v>0</v>
      </c>
      <c r="AB176" s="60">
        <v>0</v>
      </c>
      <c r="AC176" s="34"/>
      <c r="AD176" s="66">
        <v>0</v>
      </c>
      <c r="AE176" s="60">
        <v>0</v>
      </c>
    </row>
    <row r="177" spans="1:39" ht="18" hidden="1" customHeight="1" outlineLevel="1" x14ac:dyDescent="0.2">
      <c r="A177" s="30" t="s">
        <v>90</v>
      </c>
      <c r="B177" s="30" t="s">
        <v>18</v>
      </c>
      <c r="C177" s="4">
        <v>-1.0333333333333334</v>
      </c>
      <c r="D177" s="4">
        <v>1.6129032258064516E-2</v>
      </c>
      <c r="F177" s="38" t="s">
        <v>95</v>
      </c>
      <c r="G177" s="34"/>
      <c r="H177" s="66">
        <v>-0.25</v>
      </c>
      <c r="I177" s="66">
        <v>-2.371</v>
      </c>
      <c r="J177" s="66">
        <v>-2.371</v>
      </c>
      <c r="K177" s="86">
        <v>-0.3</v>
      </c>
      <c r="L177" s="86">
        <v>-0.62</v>
      </c>
      <c r="M177" s="66">
        <v>-0.13500000000000001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-0.47499999999999998</v>
      </c>
      <c r="W177" s="66">
        <v>0</v>
      </c>
      <c r="X177" s="66">
        <v>0</v>
      </c>
      <c r="Y177" s="66">
        <v>-0.61</v>
      </c>
      <c r="Z177" s="34"/>
      <c r="AA177" s="66">
        <v>-0.3</v>
      </c>
      <c r="AB177" s="60">
        <v>-0.31</v>
      </c>
      <c r="AC177" s="34"/>
      <c r="AD177" s="66">
        <v>-0.62</v>
      </c>
      <c r="AE177" s="60">
        <v>0.01</v>
      </c>
    </row>
    <row r="178" spans="1:39" ht="18" hidden="1" customHeight="1" outlineLevel="1" x14ac:dyDescent="0.2">
      <c r="A178" s="30" t="s">
        <v>127</v>
      </c>
      <c r="B178" s="30" t="s">
        <v>18</v>
      </c>
      <c r="C178" s="4">
        <v>-0.99579242636746146</v>
      </c>
      <c r="D178" s="4">
        <v>0.21978021978021978</v>
      </c>
      <c r="F178" s="38" t="s">
        <v>128</v>
      </c>
      <c r="G178" s="34"/>
      <c r="H178" s="66">
        <v>0</v>
      </c>
      <c r="I178" s="66">
        <v>-0.91600000000000004</v>
      </c>
      <c r="J178" s="66">
        <v>-0.91600000000000004</v>
      </c>
      <c r="K178" s="86">
        <v>0</v>
      </c>
      <c r="L178" s="86">
        <v>-0.91</v>
      </c>
      <c r="M178" s="66">
        <v>0</v>
      </c>
      <c r="N178" s="66">
        <v>-0.3</v>
      </c>
      <c r="O178" s="66">
        <v>0</v>
      </c>
      <c r="P178" s="66">
        <v>0</v>
      </c>
      <c r="Q178" s="66">
        <v>0</v>
      </c>
      <c r="R178" s="66">
        <v>-0.41299999999999998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-0.71299999999999997</v>
      </c>
      <c r="Z178" s="34"/>
      <c r="AA178" s="66">
        <v>0</v>
      </c>
      <c r="AB178" s="60">
        <v>-0.71</v>
      </c>
      <c r="AC178" s="34"/>
      <c r="AD178" s="66">
        <v>-0.91</v>
      </c>
      <c r="AE178" s="60">
        <v>0.2</v>
      </c>
    </row>
    <row r="179" spans="1:39" s="209" customFormat="1" ht="18" hidden="1" customHeight="1" outlineLevel="1" x14ac:dyDescent="0.2">
      <c r="A179" s="227" t="s">
        <v>261</v>
      </c>
      <c r="B179" s="210" t="s">
        <v>18</v>
      </c>
      <c r="C179" s="208">
        <v>0</v>
      </c>
      <c r="D179" s="208">
        <v>0</v>
      </c>
      <c r="F179" s="218" t="s">
        <v>262</v>
      </c>
      <c r="G179" s="211"/>
      <c r="H179" s="215">
        <v>0</v>
      </c>
      <c r="I179" s="215">
        <v>0</v>
      </c>
      <c r="J179" s="215">
        <v>0</v>
      </c>
      <c r="K179" s="216">
        <v>0</v>
      </c>
      <c r="L179" s="216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  <c r="R179" s="215">
        <v>0</v>
      </c>
      <c r="S179" s="215">
        <v>0</v>
      </c>
      <c r="T179" s="215">
        <v>0</v>
      </c>
      <c r="U179" s="215">
        <v>0</v>
      </c>
      <c r="V179" s="215">
        <v>0</v>
      </c>
      <c r="W179" s="215">
        <v>0</v>
      </c>
      <c r="X179" s="215">
        <v>0</v>
      </c>
      <c r="Y179" s="215">
        <v>0</v>
      </c>
      <c r="Z179" s="211"/>
      <c r="AA179" s="215">
        <v>0</v>
      </c>
      <c r="AB179" s="214">
        <v>0</v>
      </c>
      <c r="AC179" s="211"/>
      <c r="AD179" s="215">
        <v>0</v>
      </c>
      <c r="AE179" s="214">
        <v>0</v>
      </c>
      <c r="AM179" s="207"/>
    </row>
    <row r="180" spans="1:39" ht="18" hidden="1" customHeight="1" outlineLevel="1" x14ac:dyDescent="0.2">
      <c r="A180" s="30" t="s">
        <v>199</v>
      </c>
      <c r="B180" s="30" t="s">
        <v>18</v>
      </c>
      <c r="C180" s="4">
        <v>0</v>
      </c>
      <c r="D180" s="4">
        <v>0</v>
      </c>
      <c r="F180" s="38" t="s">
        <v>184</v>
      </c>
      <c r="G180" s="34"/>
      <c r="H180" s="66">
        <v>0</v>
      </c>
      <c r="I180" s="66">
        <v>0</v>
      </c>
      <c r="J180" s="66">
        <v>0</v>
      </c>
      <c r="K180" s="86">
        <v>0</v>
      </c>
      <c r="L180" s="8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34"/>
      <c r="AA180" s="66">
        <v>0</v>
      </c>
      <c r="AB180" s="60">
        <v>0</v>
      </c>
      <c r="AC180" s="34"/>
      <c r="AD180" s="66">
        <v>0</v>
      </c>
      <c r="AE180" s="60">
        <v>0</v>
      </c>
    </row>
    <row r="181" spans="1:39" ht="18" hidden="1" customHeight="1" outlineLevel="1" x14ac:dyDescent="0.2">
      <c r="A181" s="30" t="s">
        <v>263</v>
      </c>
      <c r="B181" s="30" t="s">
        <v>18</v>
      </c>
      <c r="C181" s="4">
        <v>0</v>
      </c>
      <c r="D181" s="4">
        <v>0</v>
      </c>
      <c r="F181" s="38" t="s">
        <v>273</v>
      </c>
      <c r="G181" s="34"/>
      <c r="H181" s="66">
        <v>0</v>
      </c>
      <c r="I181" s="66">
        <v>0</v>
      </c>
      <c r="J181" s="66">
        <v>0</v>
      </c>
      <c r="K181" s="86">
        <v>0</v>
      </c>
      <c r="L181" s="8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34"/>
      <c r="AA181" s="66">
        <v>0</v>
      </c>
      <c r="AB181" s="60">
        <v>0</v>
      </c>
      <c r="AC181" s="34"/>
      <c r="AD181" s="66">
        <v>0</v>
      </c>
      <c r="AE181" s="60">
        <v>0</v>
      </c>
    </row>
    <row r="182" spans="1:39" ht="18" hidden="1" customHeight="1" outlineLevel="1" x14ac:dyDescent="0.2">
      <c r="A182" s="30" t="s">
        <v>195</v>
      </c>
      <c r="B182" s="30" t="s">
        <v>18</v>
      </c>
      <c r="C182" s="4">
        <v>0</v>
      </c>
      <c r="D182" s="4">
        <v>0</v>
      </c>
      <c r="F182" s="38" t="s">
        <v>196</v>
      </c>
      <c r="G182" s="34"/>
      <c r="H182" s="66">
        <v>0</v>
      </c>
      <c r="I182" s="66">
        <v>0</v>
      </c>
      <c r="J182" s="66">
        <v>0</v>
      </c>
      <c r="K182" s="86">
        <v>0</v>
      </c>
      <c r="L182" s="8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34"/>
      <c r="AA182" s="66">
        <v>0</v>
      </c>
      <c r="AB182" s="60">
        <v>0</v>
      </c>
      <c r="AC182" s="34"/>
      <c r="AD182" s="66">
        <v>0</v>
      </c>
      <c r="AE182" s="60">
        <v>0</v>
      </c>
    </row>
    <row r="183" spans="1:39" ht="18" hidden="1" customHeight="1" outlineLevel="1" x14ac:dyDescent="0.2">
      <c r="A183" s="30" t="s">
        <v>197</v>
      </c>
      <c r="B183" s="30" t="s">
        <v>18</v>
      </c>
      <c r="C183" s="4">
        <v>0</v>
      </c>
      <c r="D183" s="4">
        <v>0</v>
      </c>
      <c r="F183" s="38" t="s">
        <v>267</v>
      </c>
      <c r="G183" s="34"/>
      <c r="H183" s="66">
        <v>0</v>
      </c>
      <c r="I183" s="66">
        <v>0</v>
      </c>
      <c r="J183" s="66">
        <v>0</v>
      </c>
      <c r="K183" s="86">
        <v>0</v>
      </c>
      <c r="L183" s="8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34"/>
      <c r="AA183" s="66">
        <v>0</v>
      </c>
      <c r="AB183" s="60">
        <v>0</v>
      </c>
      <c r="AC183" s="34"/>
      <c r="AD183" s="66">
        <v>0</v>
      </c>
      <c r="AE183" s="60">
        <v>0</v>
      </c>
    </row>
    <row r="184" spans="1:39" s="237" customFormat="1" ht="18" hidden="1" customHeight="1" outlineLevel="1" x14ac:dyDescent="0.2">
      <c r="A184" s="254" t="s">
        <v>445</v>
      </c>
      <c r="B184" s="238" t="s">
        <v>18</v>
      </c>
      <c r="C184" s="236">
        <v>-0.99868160843770604</v>
      </c>
      <c r="D184" s="236">
        <v>0.10355029585798815</v>
      </c>
      <c r="F184" s="243" t="s">
        <v>444</v>
      </c>
      <c r="G184" s="239"/>
      <c r="H184" s="241">
        <v>0</v>
      </c>
      <c r="I184" s="241">
        <v>-0.182</v>
      </c>
      <c r="J184" s="241">
        <v>-0.182</v>
      </c>
      <c r="K184" s="242">
        <v>0</v>
      </c>
      <c r="L184" s="242">
        <v>-3.38</v>
      </c>
      <c r="M184" s="241">
        <v>-6.2E-2</v>
      </c>
      <c r="N184" s="241">
        <v>-6.0999999999999999E-2</v>
      </c>
      <c r="O184" s="241">
        <v>-5.6999999999999995E-2</v>
      </c>
      <c r="P184" s="241">
        <v>-5.6999999999999995E-2</v>
      </c>
      <c r="Q184" s="241">
        <v>-5.7999999999999996E-2</v>
      </c>
      <c r="R184" s="241">
        <v>-5.6999999999999995E-2</v>
      </c>
      <c r="S184" s="241">
        <v>-5.7999999999999996E-2</v>
      </c>
      <c r="T184" s="241">
        <v>-2.3329999999999997</v>
      </c>
      <c r="U184" s="241">
        <v>-7.2000000000000064E-2</v>
      </c>
      <c r="V184" s="241">
        <v>-7.2000000000000064E-2</v>
      </c>
      <c r="W184" s="241">
        <v>-7.2000000000000064E-2</v>
      </c>
      <c r="X184" s="241">
        <v>-7.4999999999999734E-2</v>
      </c>
      <c r="Y184" s="241">
        <v>-3.0339999999999998</v>
      </c>
      <c r="Z184" s="239"/>
      <c r="AA184" s="241">
        <v>0</v>
      </c>
      <c r="AB184" s="240">
        <v>-3.03</v>
      </c>
      <c r="AC184" s="239"/>
      <c r="AD184" s="241">
        <v>-3.3800000000000003</v>
      </c>
      <c r="AE184" s="240">
        <v>0.35</v>
      </c>
      <c r="AM184" s="235"/>
    </row>
    <row r="185" spans="1:39" ht="18" hidden="1" customHeight="1" outlineLevel="1" x14ac:dyDescent="0.2">
      <c r="A185" s="30" t="s">
        <v>257</v>
      </c>
      <c r="B185" s="30" t="s">
        <v>18</v>
      </c>
      <c r="C185" s="4">
        <v>0</v>
      </c>
      <c r="D185" s="4">
        <v>0</v>
      </c>
      <c r="F185" s="104" t="s">
        <v>260</v>
      </c>
      <c r="G185" s="36"/>
      <c r="H185" s="65">
        <v>0</v>
      </c>
      <c r="I185" s="65">
        <v>0</v>
      </c>
      <c r="J185" s="65">
        <v>0</v>
      </c>
      <c r="K185" s="90">
        <v>0</v>
      </c>
      <c r="L185" s="90">
        <v>0</v>
      </c>
      <c r="M185" s="65">
        <v>0</v>
      </c>
      <c r="N185" s="65">
        <v>0</v>
      </c>
      <c r="O185" s="65">
        <v>0</v>
      </c>
      <c r="P185" s="65">
        <v>0</v>
      </c>
      <c r="Q185" s="65">
        <v>0</v>
      </c>
      <c r="R185" s="65">
        <v>0</v>
      </c>
      <c r="S185" s="65">
        <v>0</v>
      </c>
      <c r="T185" s="65">
        <v>0</v>
      </c>
      <c r="U185" s="65">
        <v>0</v>
      </c>
      <c r="V185" s="65">
        <v>0</v>
      </c>
      <c r="W185" s="65">
        <v>0</v>
      </c>
      <c r="X185" s="65">
        <v>0</v>
      </c>
      <c r="Y185" s="65">
        <v>0</v>
      </c>
      <c r="Z185" s="36"/>
      <c r="AA185" s="65">
        <v>0</v>
      </c>
      <c r="AB185" s="60">
        <v>0</v>
      </c>
      <c r="AC185" s="36"/>
      <c r="AD185" s="65">
        <v>0</v>
      </c>
      <c r="AE185" s="60">
        <v>0</v>
      </c>
    </row>
    <row r="186" spans="1:39" ht="18" hidden="1" customHeight="1" outlineLevel="1" x14ac:dyDescent="0.2">
      <c r="A186" s="30" t="s">
        <v>200</v>
      </c>
      <c r="B186" s="30" t="s">
        <v>18</v>
      </c>
      <c r="C186" s="4">
        <v>0</v>
      </c>
      <c r="D186" s="4">
        <v>0</v>
      </c>
      <c r="F186" s="104" t="s">
        <v>183</v>
      </c>
      <c r="G186" s="36"/>
      <c r="H186" s="65">
        <v>-4.0000000000000001E-3</v>
      </c>
      <c r="I186" s="65">
        <v>2.5000000000000001E-2</v>
      </c>
      <c r="J186" s="65">
        <v>2.5000000000000001E-2</v>
      </c>
      <c r="K186" s="90">
        <v>0</v>
      </c>
      <c r="L186" s="90">
        <v>0</v>
      </c>
      <c r="M186" s="65">
        <v>0</v>
      </c>
      <c r="N186" s="65">
        <v>0</v>
      </c>
      <c r="O186" s="65">
        <v>0</v>
      </c>
      <c r="P186" s="65">
        <v>0</v>
      </c>
      <c r="Q186" s="65">
        <v>0</v>
      </c>
      <c r="R186" s="65">
        <v>0</v>
      </c>
      <c r="S186" s="65">
        <v>0</v>
      </c>
      <c r="T186" s="65">
        <v>0</v>
      </c>
      <c r="U186" s="65">
        <v>0</v>
      </c>
      <c r="V186" s="65">
        <v>0</v>
      </c>
      <c r="W186" s="65">
        <v>0</v>
      </c>
      <c r="X186" s="65">
        <v>0</v>
      </c>
      <c r="Y186" s="65">
        <v>0</v>
      </c>
      <c r="Z186" s="36"/>
      <c r="AA186" s="65">
        <v>0</v>
      </c>
      <c r="AB186" s="60">
        <v>0</v>
      </c>
      <c r="AC186" s="36"/>
      <c r="AD186" s="65">
        <v>0</v>
      </c>
      <c r="AE186" s="60">
        <v>0</v>
      </c>
    </row>
    <row r="187" spans="1:39" ht="18" hidden="1" customHeight="1" outlineLevel="1" x14ac:dyDescent="0.2">
      <c r="A187" s="30" t="s">
        <v>256</v>
      </c>
      <c r="B187" s="30" t="s">
        <v>18</v>
      </c>
      <c r="C187" s="4">
        <v>0</v>
      </c>
      <c r="D187" s="4">
        <v>0</v>
      </c>
      <c r="F187" s="104" t="s">
        <v>259</v>
      </c>
      <c r="G187" s="36"/>
      <c r="H187" s="65">
        <v>0</v>
      </c>
      <c r="I187" s="65">
        <v>-2.3490000000000002</v>
      </c>
      <c r="J187" s="65">
        <v>-2.3490000000000002</v>
      </c>
      <c r="K187" s="90">
        <v>0</v>
      </c>
      <c r="L187" s="90">
        <v>0</v>
      </c>
      <c r="M187" s="65">
        <v>0</v>
      </c>
      <c r="N187" s="65">
        <v>0</v>
      </c>
      <c r="O187" s="65">
        <v>0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36"/>
      <c r="AA187" s="65">
        <v>0</v>
      </c>
      <c r="AB187" s="60">
        <v>0</v>
      </c>
      <c r="AC187" s="36"/>
      <c r="AD187" s="65">
        <v>0</v>
      </c>
      <c r="AE187" s="60">
        <v>0</v>
      </c>
    </row>
    <row r="188" spans="1:39" ht="18" hidden="1" customHeight="1" outlineLevel="1" x14ac:dyDescent="0.2">
      <c r="A188" s="30" t="s">
        <v>185</v>
      </c>
      <c r="B188" s="30" t="s">
        <v>18</v>
      </c>
      <c r="C188" s="4">
        <v>0</v>
      </c>
      <c r="D188" s="4">
        <v>0</v>
      </c>
      <c r="F188" s="38" t="s">
        <v>186</v>
      </c>
      <c r="G188" s="34"/>
      <c r="H188" s="66">
        <v>0</v>
      </c>
      <c r="I188" s="66">
        <v>0</v>
      </c>
      <c r="J188" s="66">
        <v>0</v>
      </c>
      <c r="K188" s="86">
        <v>0</v>
      </c>
      <c r="L188" s="86">
        <v>0</v>
      </c>
      <c r="M188" s="66">
        <v>0</v>
      </c>
      <c r="N188" s="66">
        <v>0</v>
      </c>
      <c r="O188" s="66">
        <v>0</v>
      </c>
      <c r="P188" s="66">
        <v>0</v>
      </c>
      <c r="Q188" s="66">
        <v>0</v>
      </c>
      <c r="R188" s="66">
        <v>0</v>
      </c>
      <c r="S188" s="66">
        <v>0</v>
      </c>
      <c r="T188" s="66">
        <v>0</v>
      </c>
      <c r="U188" s="66">
        <v>0</v>
      </c>
      <c r="V188" s="66">
        <v>0</v>
      </c>
      <c r="W188" s="66">
        <v>0</v>
      </c>
      <c r="X188" s="66">
        <v>0</v>
      </c>
      <c r="Y188" s="66">
        <v>0</v>
      </c>
      <c r="Z188" s="34"/>
      <c r="AA188" s="66">
        <v>0</v>
      </c>
      <c r="AB188" s="60">
        <v>0</v>
      </c>
      <c r="AC188" s="34"/>
      <c r="AD188" s="66">
        <v>0</v>
      </c>
      <c r="AE188" s="60">
        <v>0</v>
      </c>
    </row>
    <row r="189" spans="1:39" ht="18" customHeight="1" collapsed="1" x14ac:dyDescent="0.2">
      <c r="A189" s="35"/>
      <c r="B189" s="35"/>
      <c r="C189" s="4">
        <v>-1.5956521739130436</v>
      </c>
      <c r="D189" s="4">
        <v>0.13603473227206944</v>
      </c>
      <c r="F189" s="106" t="s">
        <v>188</v>
      </c>
      <c r="H189" s="61">
        <v>-1.3340000000000001</v>
      </c>
      <c r="I189" s="61">
        <v>-8.3930000000000007</v>
      </c>
      <c r="J189" s="61">
        <v>-8.3930000000000007</v>
      </c>
      <c r="K189" s="86">
        <v>-2.2999999999999998</v>
      </c>
      <c r="L189" s="86">
        <v>-6.91</v>
      </c>
      <c r="M189" s="61">
        <v>-0.19700000000000001</v>
      </c>
      <c r="N189" s="61">
        <v>-0.36099999999999999</v>
      </c>
      <c r="O189" s="61">
        <v>-5.6999999999999995E-2</v>
      </c>
      <c r="P189" s="61">
        <v>-0.95700000000000007</v>
      </c>
      <c r="Q189" s="61">
        <v>-5.7999999999999996E-2</v>
      </c>
      <c r="R189" s="61">
        <v>-0.47</v>
      </c>
      <c r="S189" s="61">
        <v>-5.7999999999999996E-2</v>
      </c>
      <c r="T189" s="61">
        <v>-2.3329999999999997</v>
      </c>
      <c r="U189" s="61">
        <v>-0.78500000000000003</v>
      </c>
      <c r="V189" s="61">
        <v>-0.54700000000000004</v>
      </c>
      <c r="W189" s="61">
        <v>-7.2000000000000064E-2</v>
      </c>
      <c r="X189" s="61">
        <v>-7.4999999999999734E-2</v>
      </c>
      <c r="Y189" s="61">
        <v>-5.97</v>
      </c>
      <c r="AA189" s="61">
        <v>-2.2999999999999998</v>
      </c>
      <c r="AB189" s="60">
        <v>-3.67</v>
      </c>
      <c r="AD189" s="61">
        <v>-6.91</v>
      </c>
      <c r="AE189" s="60">
        <v>0.94</v>
      </c>
    </row>
    <row r="190" spans="1:39" ht="18" customHeight="1" x14ac:dyDescent="0.2">
      <c r="A190" s="35"/>
      <c r="B190" s="35"/>
      <c r="C190" s="4">
        <v>0.18049826622230278</v>
      </c>
      <c r="D190" s="4">
        <v>7.7106672930101025E-2</v>
      </c>
      <c r="F190" s="95" t="s">
        <v>87</v>
      </c>
      <c r="H190" s="64">
        <v>-144.89699999999999</v>
      </c>
      <c r="I190" s="64">
        <v>-249.39999999999998</v>
      </c>
      <c r="J190" s="64">
        <v>-249.39999999999998</v>
      </c>
      <c r="K190" s="89">
        <v>-237.34300000000002</v>
      </c>
      <c r="L190" s="89">
        <v>-210.74700000000001</v>
      </c>
      <c r="M190" s="64">
        <v>-15.480999999999998</v>
      </c>
      <c r="N190" s="64">
        <v>-17.760000000000002</v>
      </c>
      <c r="O190" s="64">
        <v>-20.407999999999994</v>
      </c>
      <c r="P190" s="64">
        <v>-13.927000000000003</v>
      </c>
      <c r="Q190" s="64">
        <v>-12.889999999999999</v>
      </c>
      <c r="R190" s="64">
        <v>-14.202000000000002</v>
      </c>
      <c r="S190" s="64">
        <v>-17.635999999999999</v>
      </c>
      <c r="T190" s="64">
        <v>-17.239000000000001</v>
      </c>
      <c r="U190" s="64">
        <v>-20.509999999999998</v>
      </c>
      <c r="V190" s="64">
        <v>-15.998999999999995</v>
      </c>
      <c r="W190" s="64">
        <v>-12.794000000000015</v>
      </c>
      <c r="X190" s="64">
        <v>-15.652999999999995</v>
      </c>
      <c r="Y190" s="64">
        <v>-194.499</v>
      </c>
      <c r="AA190" s="64">
        <v>-237.34299999999999</v>
      </c>
      <c r="AB190" s="60">
        <v>42.84</v>
      </c>
      <c r="AD190" s="64">
        <v>-210.74699999999999</v>
      </c>
      <c r="AE190" s="60">
        <v>16.25</v>
      </c>
    </row>
    <row r="191" spans="1:39" ht="12.95" customHeight="1" x14ac:dyDescent="0.2">
      <c r="A191" s="35"/>
      <c r="B191" s="35"/>
      <c r="C191" s="4"/>
      <c r="D191" s="4"/>
      <c r="F191" s="39" t="s">
        <v>223</v>
      </c>
      <c r="H191" s="56">
        <v>6.0946581843868697E-3</v>
      </c>
      <c r="I191" s="56">
        <v>1.0219944767222317E-2</v>
      </c>
      <c r="J191" s="56">
        <v>1.0219944767222317E-2</v>
      </c>
      <c r="K191" s="109">
        <v>9.9887811757750338E-3</v>
      </c>
      <c r="L191" s="109">
        <v>8.6396485943552835E-3</v>
      </c>
      <c r="M191" s="56">
        <v>8.116015880779863E-3</v>
      </c>
      <c r="N191" s="56">
        <v>9.1112012882910293E-3</v>
      </c>
      <c r="O191" s="56">
        <v>1.0445024154886072E-2</v>
      </c>
      <c r="P191" s="56">
        <v>6.4421377887559795E-3</v>
      </c>
      <c r="Q191" s="56">
        <v>5.9454485492690399E-3</v>
      </c>
      <c r="R191" s="56">
        <v>6.6765233375094945E-3</v>
      </c>
      <c r="S191" s="56">
        <v>8.9226131782078905E-3</v>
      </c>
      <c r="T191" s="56">
        <v>8.4338168708626565E-3</v>
      </c>
      <c r="U191" s="56">
        <v>9.9466344391184441E-3</v>
      </c>
      <c r="V191" s="56">
        <v>7.6887994582902205E-3</v>
      </c>
      <c r="W191" s="56">
        <v>5.9106673362404718E-3</v>
      </c>
      <c r="X191" s="56">
        <v>7.0960567539473081E-3</v>
      </c>
      <c r="Y191" s="56">
        <v>7.8422393002477025E-3</v>
      </c>
      <c r="AA191" s="56">
        <v>9.9887811757750338E-3</v>
      </c>
      <c r="AB191" s="57"/>
      <c r="AD191" s="56">
        <v>8.6396485943552818E-3</v>
      </c>
      <c r="AE191" s="57"/>
    </row>
    <row r="192" spans="1:39" ht="6.95" customHeight="1" x14ac:dyDescent="0.2">
      <c r="C192" s="4"/>
      <c r="D192" s="4"/>
      <c r="F192" s="96"/>
      <c r="H192" s="16"/>
      <c r="I192" s="16"/>
      <c r="J192" s="16"/>
      <c r="K192" s="85"/>
      <c r="L192" s="85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AA192" s="16"/>
      <c r="AB192" s="20"/>
      <c r="AD192" s="16"/>
      <c r="AE192" s="20"/>
    </row>
    <row r="193" spans="1:31" s="40" customFormat="1" ht="18" customHeight="1" x14ac:dyDescent="0.2">
      <c r="A193" s="35"/>
      <c r="B193" s="35"/>
      <c r="C193" s="4">
        <v>-1.92790401214031E-2</v>
      </c>
      <c r="D193" s="4">
        <v>-1.1636128216361551E-2</v>
      </c>
      <c r="E193" s="8"/>
      <c r="F193" s="100" t="s">
        <v>277</v>
      </c>
      <c r="G193" s="8"/>
      <c r="H193" s="62">
        <v>-15998.470000000003</v>
      </c>
      <c r="I193" s="62">
        <v>-16133.245000000001</v>
      </c>
      <c r="J193" s="62">
        <v>-16133.245000000001</v>
      </c>
      <c r="K193" s="108">
        <v>-15924.548010000002</v>
      </c>
      <c r="L193" s="108">
        <v>-16044.855860000001</v>
      </c>
      <c r="M193" s="62">
        <v>-1358.2809999999997</v>
      </c>
      <c r="N193" s="62">
        <v>-1356.154</v>
      </c>
      <c r="O193" s="62">
        <v>-1493.8120000000001</v>
      </c>
      <c r="P193" s="62">
        <v>-1369.6100000000001</v>
      </c>
      <c r="Q193" s="62">
        <v>-1148.729</v>
      </c>
      <c r="R193" s="62">
        <v>-1488.4039999999998</v>
      </c>
      <c r="S193" s="62">
        <v>-1202.279</v>
      </c>
      <c r="T193" s="62">
        <v>-1080.6940000000004</v>
      </c>
      <c r="U193" s="62">
        <v>-1414.5460000000003</v>
      </c>
      <c r="V193" s="62">
        <v>-1449.1260000000095</v>
      </c>
      <c r="W193" s="62">
        <v>-1422.1909999999905</v>
      </c>
      <c r="X193" s="62">
        <v>-1447.731</v>
      </c>
      <c r="Y193" s="62">
        <v>-16231.557000000001</v>
      </c>
      <c r="Z193" s="8"/>
      <c r="AA193" s="62">
        <v>-15924.548010000004</v>
      </c>
      <c r="AB193" s="60">
        <v>-307.01</v>
      </c>
      <c r="AC193" s="8"/>
      <c r="AD193" s="62">
        <v>-16044.855860000001</v>
      </c>
      <c r="AE193" s="60">
        <v>-186.7</v>
      </c>
    </row>
    <row r="194" spans="1:31" ht="12.95" customHeight="1" x14ac:dyDescent="0.2">
      <c r="A194" s="35"/>
      <c r="B194" s="35"/>
      <c r="C194" s="4"/>
      <c r="D194" s="4"/>
      <c r="F194" s="39" t="s">
        <v>223</v>
      </c>
      <c r="H194" s="56">
        <v>0.67292770811795843</v>
      </c>
      <c r="I194" s="56">
        <v>0.6611101556377933</v>
      </c>
      <c r="J194" s="56">
        <v>0.6611101556377933</v>
      </c>
      <c r="K194" s="109">
        <v>0.67019809050620327</v>
      </c>
      <c r="L194" s="109">
        <v>0.65776460104998957</v>
      </c>
      <c r="M194" s="56">
        <v>0.71208773119059177</v>
      </c>
      <c r="N194" s="56">
        <v>0.6957315355811392</v>
      </c>
      <c r="O194" s="56">
        <v>0.76454833510675602</v>
      </c>
      <c r="P194" s="56">
        <v>0.63353316125928605</v>
      </c>
      <c r="Q194" s="56">
        <v>0.52984555209878015</v>
      </c>
      <c r="R194" s="56">
        <v>0.69971581760614554</v>
      </c>
      <c r="S194" s="56">
        <v>0.60827117539592912</v>
      </c>
      <c r="T194" s="56">
        <v>0.52870672831603049</v>
      </c>
      <c r="U194" s="56">
        <v>0.68600545876729613</v>
      </c>
      <c r="V194" s="56">
        <v>0.69642097654818125</v>
      </c>
      <c r="W194" s="56">
        <v>0.65703438249141055</v>
      </c>
      <c r="X194" s="56">
        <v>0.65630750274381233</v>
      </c>
      <c r="Y194" s="56">
        <v>0.65445968467504056</v>
      </c>
      <c r="AA194" s="56">
        <v>0.67019809050620327</v>
      </c>
      <c r="AB194" s="57"/>
      <c r="AD194" s="56">
        <v>0.65776460104998946</v>
      </c>
      <c r="AE194" s="57"/>
    </row>
    <row r="195" spans="1:31" ht="6.95" customHeight="1" x14ac:dyDescent="0.2">
      <c r="C195" s="4"/>
      <c r="D195" s="4"/>
      <c r="F195" s="96"/>
      <c r="H195" s="16"/>
      <c r="I195" s="16"/>
      <c r="J195" s="16"/>
      <c r="K195" s="85"/>
      <c r="L195" s="85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AA195" s="16"/>
      <c r="AB195" s="20"/>
      <c r="AD195" s="16"/>
      <c r="AE195" s="20"/>
    </row>
    <row r="196" spans="1:31" ht="18" customHeight="1" x14ac:dyDescent="0.2">
      <c r="A196" s="35"/>
      <c r="B196" s="35"/>
      <c r="C196" s="4">
        <v>8.1617553066483689E-2</v>
      </c>
      <c r="D196" s="4">
        <v>2.9113871098453332E-2</v>
      </c>
      <c r="F196" s="101" t="s">
        <v>278</v>
      </c>
      <c r="H196" s="77">
        <v>7453.0609999999961</v>
      </c>
      <c r="I196" s="77">
        <v>7925.0409999999993</v>
      </c>
      <c r="J196" s="77">
        <v>7925.0409999999993</v>
      </c>
      <c r="K196" s="114">
        <v>7806.4089899999963</v>
      </c>
      <c r="L196" s="114">
        <v>8204.6801399999986</v>
      </c>
      <c r="M196" s="77">
        <v>517.00600000000031</v>
      </c>
      <c r="N196" s="77">
        <v>487.82200000000012</v>
      </c>
      <c r="O196" s="77">
        <v>460.50699999999983</v>
      </c>
      <c r="P196" s="77">
        <v>788.73700000000008</v>
      </c>
      <c r="Q196" s="77">
        <v>1049.1000000000001</v>
      </c>
      <c r="R196" s="77">
        <v>685.18399999999906</v>
      </c>
      <c r="S196" s="77">
        <v>703.56400000000144</v>
      </c>
      <c r="T196" s="77">
        <v>851.69899999999893</v>
      </c>
      <c r="U196" s="77">
        <v>667.64200000000073</v>
      </c>
      <c r="V196" s="77">
        <v>680.17099999999004</v>
      </c>
      <c r="W196" s="77">
        <v>755.29500000000985</v>
      </c>
      <c r="X196" s="77">
        <v>796.82199999999762</v>
      </c>
      <c r="Y196" s="77">
        <v>8443.5489999999991</v>
      </c>
      <c r="AA196" s="77">
        <v>7806.4089899999963</v>
      </c>
      <c r="AB196" s="60">
        <v>637.14</v>
      </c>
      <c r="AD196" s="77">
        <v>8204.6801399999986</v>
      </c>
      <c r="AE196" s="60">
        <v>238.87</v>
      </c>
    </row>
    <row r="197" spans="1:31" ht="12.95" customHeight="1" x14ac:dyDescent="0.2">
      <c r="A197" s="35"/>
      <c r="B197" s="35"/>
      <c r="C197" s="4"/>
      <c r="D197" s="4"/>
      <c r="F197" s="39" t="s">
        <v>223</v>
      </c>
      <c r="H197" s="56">
        <v>0.31349068112096573</v>
      </c>
      <c r="I197" s="56">
        <v>0.32475333319154898</v>
      </c>
      <c r="J197" s="56">
        <v>0.32475333319154898</v>
      </c>
      <c r="K197" s="109">
        <v>0.32853933408490227</v>
      </c>
      <c r="L197" s="109">
        <v>0.33635379501812929</v>
      </c>
      <c r="M197" s="56">
        <v>0.27104378957809422</v>
      </c>
      <c r="N197" s="56">
        <v>0.25026151097166144</v>
      </c>
      <c r="O197" s="56">
        <v>0.23569221572393764</v>
      </c>
      <c r="P197" s="56">
        <v>0.3648418491484185</v>
      </c>
      <c r="Q197" s="56">
        <v>0.48389217013484492</v>
      </c>
      <c r="R197" s="56">
        <v>0.32211286906689895</v>
      </c>
      <c r="S197" s="56">
        <v>0.35595539907647256</v>
      </c>
      <c r="T197" s="56">
        <v>0.41667575817024444</v>
      </c>
      <c r="U197" s="56">
        <v>0.32378307704543757</v>
      </c>
      <c r="V197" s="56">
        <v>0.32687658080784066</v>
      </c>
      <c r="W197" s="56">
        <v>0.3489368051997655</v>
      </c>
      <c r="X197" s="56">
        <v>0.36122750493795358</v>
      </c>
      <c r="Y197" s="56">
        <v>0.34044561566572162</v>
      </c>
      <c r="AA197" s="56">
        <v>0.32853933408490227</v>
      </c>
      <c r="AB197" s="57"/>
      <c r="AD197" s="56">
        <v>0.33635379501812923</v>
      </c>
      <c r="AE197" s="57"/>
    </row>
    <row r="198" spans="1:31" ht="6.95" customHeight="1" x14ac:dyDescent="0.2">
      <c r="C198" s="4"/>
      <c r="D198" s="4"/>
      <c r="F198" s="96"/>
      <c r="H198" s="16"/>
      <c r="I198" s="16"/>
      <c r="J198" s="16"/>
      <c r="K198" s="85"/>
      <c r="L198" s="85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AA198" s="16"/>
      <c r="AB198" s="20"/>
      <c r="AD198" s="16"/>
      <c r="AE198" s="20"/>
    </row>
    <row r="199" spans="1:31" ht="18" hidden="1" customHeight="1" outlineLevel="1" x14ac:dyDescent="0.2">
      <c r="A199" s="30" t="s">
        <v>36</v>
      </c>
      <c r="B199" s="30" t="s">
        <v>243</v>
      </c>
      <c r="C199" s="4"/>
      <c r="D199" s="4"/>
      <c r="F199" s="51" t="s">
        <v>246</v>
      </c>
      <c r="G199" s="34"/>
      <c r="H199" s="72">
        <v>3.97</v>
      </c>
      <c r="I199" s="72">
        <v>3.8849999999999998</v>
      </c>
      <c r="J199" s="72">
        <v>3.8849999999999998</v>
      </c>
      <c r="K199" s="111">
        <v>7.25</v>
      </c>
      <c r="L199" s="111">
        <v>6.5129999999999999</v>
      </c>
      <c r="M199" s="72">
        <v>3.3120000000000003</v>
      </c>
      <c r="N199" s="72">
        <v>2.9880000000000004</v>
      </c>
      <c r="O199" s="72">
        <v>2.9879999999999995</v>
      </c>
      <c r="P199" s="72">
        <v>2.4359999999999999</v>
      </c>
      <c r="Q199" s="72">
        <v>2.9879999999999995</v>
      </c>
      <c r="R199" s="72">
        <v>2.9880000000000031</v>
      </c>
      <c r="S199" s="72">
        <v>2.987999999999996</v>
      </c>
      <c r="T199" s="72">
        <v>2.9880000000000031</v>
      </c>
      <c r="U199" s="72">
        <v>2.9879999999999995</v>
      </c>
      <c r="V199" s="72">
        <v>2.9879999999999995</v>
      </c>
      <c r="W199" s="72">
        <v>2.9879999999999995</v>
      </c>
      <c r="X199" s="72">
        <v>2.9879999999999995</v>
      </c>
      <c r="Y199" s="72">
        <v>2.9689999999999999</v>
      </c>
      <c r="Z199" s="34"/>
      <c r="AA199" s="72">
        <v>7.25</v>
      </c>
      <c r="AB199" s="73">
        <v>-4.28</v>
      </c>
      <c r="AC199" s="34"/>
      <c r="AD199" s="72">
        <v>6.5129999999999999</v>
      </c>
      <c r="AE199" s="73">
        <v>-3.54</v>
      </c>
    </row>
    <row r="200" spans="1:31" ht="18" hidden="1" customHeight="1" outlineLevel="1" x14ac:dyDescent="0.2">
      <c r="A200" s="30" t="s">
        <v>36</v>
      </c>
      <c r="B200" s="30" t="s">
        <v>244</v>
      </c>
      <c r="C200" s="4"/>
      <c r="D200" s="4"/>
      <c r="F200" s="51" t="s">
        <v>247</v>
      </c>
      <c r="G200" s="34"/>
      <c r="H200" s="72">
        <v>4.63</v>
      </c>
      <c r="I200" s="72">
        <v>3.2789999999999999</v>
      </c>
      <c r="J200" s="72">
        <v>3.2789999999999999</v>
      </c>
      <c r="K200" s="111">
        <v>4</v>
      </c>
      <c r="L200" s="111">
        <v>4</v>
      </c>
      <c r="M200" s="72">
        <v>2.988</v>
      </c>
      <c r="N200" s="72">
        <v>2.988</v>
      </c>
      <c r="O200" s="72">
        <v>2.9880000000000004</v>
      </c>
      <c r="P200" s="72">
        <v>2.9879999999999995</v>
      </c>
      <c r="Q200" s="72">
        <v>2.9880000000000013</v>
      </c>
      <c r="R200" s="72">
        <v>2.9879999999999995</v>
      </c>
      <c r="S200" s="72">
        <v>2.9879999999999995</v>
      </c>
      <c r="T200" s="72">
        <v>2.9879999999999995</v>
      </c>
      <c r="U200" s="72">
        <v>2.9880000000000031</v>
      </c>
      <c r="V200" s="72">
        <v>2.9879999999999995</v>
      </c>
      <c r="W200" s="72">
        <v>2.9879999999999924</v>
      </c>
      <c r="X200" s="72">
        <v>3.9840000000000089</v>
      </c>
      <c r="Y200" s="72">
        <v>3.0710000000000002</v>
      </c>
      <c r="Z200" s="34"/>
      <c r="AA200" s="72">
        <v>4</v>
      </c>
      <c r="AB200" s="73">
        <v>-0.93</v>
      </c>
      <c r="AC200" s="34"/>
      <c r="AD200" s="72">
        <v>4</v>
      </c>
      <c r="AE200" s="73">
        <v>-0.93</v>
      </c>
    </row>
    <row r="201" spans="1:31" ht="18" hidden="1" customHeight="1" outlineLevel="1" x14ac:dyDescent="0.2">
      <c r="A201" s="30" t="s">
        <v>36</v>
      </c>
      <c r="B201" s="30" t="s">
        <v>245</v>
      </c>
      <c r="C201" s="4"/>
      <c r="D201" s="4"/>
      <c r="F201" s="51" t="s">
        <v>248</v>
      </c>
      <c r="G201" s="34"/>
      <c r="H201" s="72">
        <v>24.45</v>
      </c>
      <c r="I201" s="72">
        <v>22.702999999999999</v>
      </c>
      <c r="J201" s="72">
        <v>22.702999999999999</v>
      </c>
      <c r="K201" s="111">
        <v>23</v>
      </c>
      <c r="L201" s="111">
        <v>23.943999999999999</v>
      </c>
      <c r="M201" s="72">
        <v>20.832000000000001</v>
      </c>
      <c r="N201" s="72">
        <v>22.08</v>
      </c>
      <c r="O201" s="72">
        <v>21.936</v>
      </c>
      <c r="P201" s="72">
        <v>21.132000000000005</v>
      </c>
      <c r="Q201" s="72">
        <v>21.839999999999989</v>
      </c>
      <c r="R201" s="72">
        <v>21.936000000000007</v>
      </c>
      <c r="S201" s="72">
        <v>24.539999999999992</v>
      </c>
      <c r="T201" s="72">
        <v>24.54000000000002</v>
      </c>
      <c r="U201" s="72">
        <v>20.73599999999999</v>
      </c>
      <c r="V201" s="72">
        <v>21.840000000000003</v>
      </c>
      <c r="W201" s="72">
        <v>23.675999999999988</v>
      </c>
      <c r="X201" s="72">
        <v>23.244</v>
      </c>
      <c r="Y201" s="72">
        <v>22.361000000000001</v>
      </c>
      <c r="Z201" s="34"/>
      <c r="AA201" s="72">
        <v>23</v>
      </c>
      <c r="AB201" s="73">
        <v>-0.64</v>
      </c>
      <c r="AC201" s="34"/>
      <c r="AD201" s="72">
        <v>23.943999999999999</v>
      </c>
      <c r="AE201" s="73">
        <v>-1.58</v>
      </c>
    </row>
    <row r="202" spans="1:31" ht="18" customHeight="1" collapsed="1" x14ac:dyDescent="0.2">
      <c r="A202" s="30" t="s">
        <v>36</v>
      </c>
      <c r="B202" s="30" t="s">
        <v>22</v>
      </c>
      <c r="C202" s="4"/>
      <c r="D202" s="4"/>
      <c r="F202" s="97" t="s">
        <v>250</v>
      </c>
      <c r="H202" s="74">
        <v>33.9</v>
      </c>
      <c r="I202" s="74">
        <v>30.783000000000001</v>
      </c>
      <c r="J202" s="74">
        <v>30.783000000000001</v>
      </c>
      <c r="K202" s="112">
        <v>34.25</v>
      </c>
      <c r="L202" s="112">
        <v>34.457000000000001</v>
      </c>
      <c r="M202" s="74">
        <v>27.132000000000001</v>
      </c>
      <c r="N202" s="74">
        <v>28.056000000000001</v>
      </c>
      <c r="O202" s="74">
        <v>27.911999999999992</v>
      </c>
      <c r="P202" s="74">
        <v>26.556000000000012</v>
      </c>
      <c r="Q202" s="74">
        <v>27.815999999999974</v>
      </c>
      <c r="R202" s="74">
        <v>27.912000000000035</v>
      </c>
      <c r="S202" s="74">
        <v>30.515999999999963</v>
      </c>
      <c r="T202" s="74">
        <v>30.51600000000002</v>
      </c>
      <c r="U202" s="74">
        <v>26.712000000000018</v>
      </c>
      <c r="V202" s="74">
        <v>27.815999999999946</v>
      </c>
      <c r="W202" s="74">
        <v>29.652000000000044</v>
      </c>
      <c r="X202" s="74">
        <v>30.216000000000008</v>
      </c>
      <c r="Y202" s="74">
        <v>28.401</v>
      </c>
      <c r="AA202" s="74">
        <v>34.25</v>
      </c>
      <c r="AB202" s="73">
        <v>-5.85</v>
      </c>
      <c r="AD202" s="74">
        <v>34.457000000000001</v>
      </c>
      <c r="AE202" s="73">
        <v>-6.06</v>
      </c>
    </row>
    <row r="203" spans="1:31" ht="18" hidden="1" customHeight="1" outlineLevel="1" collapsed="1" x14ac:dyDescent="0.2">
      <c r="A203" s="33" t="s">
        <v>211</v>
      </c>
      <c r="B203" s="33" t="s">
        <v>22</v>
      </c>
      <c r="C203" s="4"/>
      <c r="D203" s="4"/>
      <c r="F203" s="98" t="s">
        <v>212</v>
      </c>
      <c r="G203" s="34"/>
      <c r="H203" s="75">
        <v>37.192999999999998</v>
      </c>
      <c r="I203" s="75">
        <v>34.314</v>
      </c>
      <c r="J203" s="75">
        <v>34.314</v>
      </c>
      <c r="K203" s="112">
        <v>34.25</v>
      </c>
      <c r="L203" s="112">
        <v>34.457000000000001</v>
      </c>
      <c r="M203" s="75">
        <v>28.715999999999998</v>
      </c>
      <c r="N203" s="75">
        <v>30.048000000000005</v>
      </c>
      <c r="O203" s="75">
        <v>30.155999999999999</v>
      </c>
      <c r="P203" s="75">
        <v>29.591999999999999</v>
      </c>
      <c r="Q203" s="75">
        <v>30.455999999999989</v>
      </c>
      <c r="R203" s="75">
        <v>31.032000000000011</v>
      </c>
      <c r="S203" s="75">
        <v>33.156000000000006</v>
      </c>
      <c r="T203" s="75">
        <v>33.779999999999973</v>
      </c>
      <c r="U203" s="75">
        <v>28.824000000000012</v>
      </c>
      <c r="V203" s="75">
        <v>31.5</v>
      </c>
      <c r="W203" s="75">
        <v>33.52800000000002</v>
      </c>
      <c r="X203" s="75">
        <v>34.596000000000004</v>
      </c>
      <c r="Y203" s="75">
        <v>31.282</v>
      </c>
      <c r="Z203" s="34"/>
      <c r="AA203" s="75">
        <v>34.25</v>
      </c>
      <c r="AB203" s="76">
        <v>-2.97</v>
      </c>
      <c r="AC203" s="34"/>
      <c r="AD203" s="75">
        <v>34.457000000000001</v>
      </c>
      <c r="AE203" s="76">
        <v>-3.18</v>
      </c>
    </row>
    <row r="204" spans="1:31" ht="18" hidden="1" customHeight="1" outlineLevel="1" collapsed="1" x14ac:dyDescent="0.2">
      <c r="A204" s="35"/>
      <c r="B204" s="35"/>
      <c r="C204" s="4"/>
      <c r="D204" s="4"/>
      <c r="F204" s="97" t="s">
        <v>251</v>
      </c>
      <c r="H204" s="74">
        <v>3.2929999999999993</v>
      </c>
      <c r="I204" s="74">
        <v>3.5309999999999988</v>
      </c>
      <c r="J204" s="74">
        <v>3.5309999999999988</v>
      </c>
      <c r="K204" s="112">
        <v>0</v>
      </c>
      <c r="L204" s="112">
        <v>0</v>
      </c>
      <c r="M204" s="74">
        <v>1.5839999999999961</v>
      </c>
      <c r="N204" s="74">
        <v>1.9920000000000044</v>
      </c>
      <c r="O204" s="74">
        <v>2.2440000000000069</v>
      </c>
      <c r="P204" s="74">
        <v>3.0359999999999872</v>
      </c>
      <c r="Q204" s="74">
        <v>2.6400000000000148</v>
      </c>
      <c r="R204" s="74">
        <v>3.1199999999999761</v>
      </c>
      <c r="S204" s="74">
        <v>2.6400000000000432</v>
      </c>
      <c r="T204" s="74">
        <v>3.2639999999999532</v>
      </c>
      <c r="U204" s="74">
        <v>2.1119999999999948</v>
      </c>
      <c r="V204" s="74">
        <v>3.6840000000000543</v>
      </c>
      <c r="W204" s="74">
        <v>3.8759999999999764</v>
      </c>
      <c r="X204" s="74">
        <v>4.3799999999999955</v>
      </c>
      <c r="Y204" s="74">
        <v>2.8810000000000002</v>
      </c>
      <c r="AA204" s="74">
        <v>0</v>
      </c>
      <c r="AB204" s="73">
        <v>2.88</v>
      </c>
      <c r="AD204" s="74">
        <v>0</v>
      </c>
      <c r="AE204" s="73">
        <v>2.88</v>
      </c>
    </row>
    <row r="205" spans="1:31" ht="12.95" hidden="1" customHeight="1" outlineLevel="1" x14ac:dyDescent="0.2">
      <c r="A205" s="35"/>
      <c r="B205" s="35"/>
      <c r="C205" s="4"/>
      <c r="D205" s="4"/>
      <c r="F205" s="39" t="s">
        <v>37</v>
      </c>
      <c r="H205" s="68">
        <v>8.8538165783884043E-2</v>
      </c>
      <c r="I205" s="68">
        <v>0.10290260535058574</v>
      </c>
      <c r="J205" s="68">
        <v>0.10290260535058574</v>
      </c>
      <c r="K205" s="113">
        <v>0</v>
      </c>
      <c r="L205" s="113">
        <v>0</v>
      </c>
      <c r="M205" s="68">
        <v>5.516088591725854E-2</v>
      </c>
      <c r="N205" s="68">
        <v>6.6293929712460203E-2</v>
      </c>
      <c r="O205" s="68">
        <v>7.4413052128929791E-2</v>
      </c>
      <c r="P205" s="68">
        <v>0.10259529602595253</v>
      </c>
      <c r="Q205" s="68">
        <v>8.6682427107959537E-2</v>
      </c>
      <c r="R205" s="68">
        <v>0.10054137664346401</v>
      </c>
      <c r="S205" s="68">
        <v>7.962359753890827E-2</v>
      </c>
      <c r="T205" s="68">
        <v>9.6625222024865481E-2</v>
      </c>
      <c r="U205" s="68">
        <v>7.3272273105744995E-2</v>
      </c>
      <c r="V205" s="68">
        <v>0.11695238095238268</v>
      </c>
      <c r="W205" s="68">
        <v>0.11560486757337074</v>
      </c>
      <c r="X205" s="68">
        <v>0.12660423170308691</v>
      </c>
      <c r="Y205" s="68">
        <v>9.2097691963429457E-2</v>
      </c>
      <c r="AA205" s="68">
        <v>0</v>
      </c>
      <c r="AB205" s="69"/>
      <c r="AD205" s="68">
        <v>0</v>
      </c>
      <c r="AE205" s="69"/>
    </row>
    <row r="206" spans="1:31" ht="18" customHeight="1" collapsed="1" x14ac:dyDescent="0.2">
      <c r="A206" s="30" t="s">
        <v>220</v>
      </c>
      <c r="B206" s="30" t="s">
        <v>22</v>
      </c>
      <c r="C206" s="4">
        <v>4.2875092423427701E-3</v>
      </c>
      <c r="D206" s="4">
        <v>-1.5888268855726143E-2</v>
      </c>
      <c r="F206" s="106" t="s">
        <v>66</v>
      </c>
      <c r="H206" s="61">
        <v>-2084.6370000000002</v>
      </c>
      <c r="I206" s="61">
        <v>-2055.8420000000001</v>
      </c>
      <c r="J206" s="61">
        <v>-2055.8420000000001</v>
      </c>
      <c r="K206" s="86">
        <v>-2092.1237700000001</v>
      </c>
      <c r="L206" s="86">
        <v>-2050.5695300000002</v>
      </c>
      <c r="M206" s="61">
        <v>-161.92699999999999</v>
      </c>
      <c r="N206" s="61">
        <v>-155.28799999999998</v>
      </c>
      <c r="O206" s="61">
        <v>-163.00800000000004</v>
      </c>
      <c r="P206" s="61">
        <v>-156.67199999999997</v>
      </c>
      <c r="Q206" s="61">
        <v>-169.09400000000005</v>
      </c>
      <c r="R206" s="61">
        <v>-177.976</v>
      </c>
      <c r="S206" s="61">
        <v>-156.22699999999998</v>
      </c>
      <c r="T206" s="61">
        <v>-174.02700000000004</v>
      </c>
      <c r="U206" s="61">
        <v>-182.83699999999999</v>
      </c>
      <c r="V206" s="61">
        <v>-159.26900000000001</v>
      </c>
      <c r="W206" s="61">
        <v>-244.03399999999988</v>
      </c>
      <c r="X206" s="61">
        <v>-182.79500000000007</v>
      </c>
      <c r="Y206" s="61">
        <v>-2083.154</v>
      </c>
      <c r="AA206" s="61">
        <v>-2092.1237700000001</v>
      </c>
      <c r="AB206" s="60">
        <v>8.9700000000000006</v>
      </c>
      <c r="AD206" s="61">
        <v>-2050.5695300000002</v>
      </c>
      <c r="AE206" s="60">
        <v>-32.58</v>
      </c>
    </row>
    <row r="207" spans="1:31" ht="18" customHeight="1" x14ac:dyDescent="0.2">
      <c r="A207" s="30" t="s">
        <v>218</v>
      </c>
      <c r="B207" s="30" t="s">
        <v>22</v>
      </c>
      <c r="C207" s="4">
        <v>-1.0002347969006808</v>
      </c>
      <c r="D207" s="4">
        <v>-1.0002347969006808</v>
      </c>
      <c r="F207" s="104" t="s">
        <v>219</v>
      </c>
      <c r="G207" s="36"/>
      <c r="H207" s="65">
        <v>20.190999999999999</v>
      </c>
      <c r="I207" s="65">
        <v>9.2409999999999997</v>
      </c>
      <c r="J207" s="65">
        <v>9.2409999999999997</v>
      </c>
      <c r="K207" s="65">
        <v>0</v>
      </c>
      <c r="L207" s="65">
        <v>0</v>
      </c>
      <c r="M207" s="65">
        <v>-15.029</v>
      </c>
      <c r="N207" s="65">
        <v>-13.219000000000001</v>
      </c>
      <c r="O207" s="65">
        <v>-4.782</v>
      </c>
      <c r="P207" s="65">
        <v>-4.9669999999999987</v>
      </c>
      <c r="Q207" s="65">
        <v>12.978999999999999</v>
      </c>
      <c r="R207" s="65">
        <v>-1.2759999999999998</v>
      </c>
      <c r="S207" s="65">
        <v>9.8320000000000007</v>
      </c>
      <c r="T207" s="65">
        <v>42.591000000000001</v>
      </c>
      <c r="U207" s="65">
        <v>-6.554000000000002</v>
      </c>
      <c r="V207" s="65">
        <v>-3.4489999999999981</v>
      </c>
      <c r="W207" s="65">
        <v>-14.009</v>
      </c>
      <c r="X207" s="65">
        <v>-10.635000000000002</v>
      </c>
      <c r="Y207" s="65">
        <v>-8.5180000000000007</v>
      </c>
      <c r="Z207" s="36"/>
      <c r="AA207" s="65">
        <v>0</v>
      </c>
      <c r="AB207" s="60">
        <v>-8.52</v>
      </c>
      <c r="AC207" s="36"/>
      <c r="AD207" s="65">
        <v>0</v>
      </c>
      <c r="AE207" s="60">
        <v>-8.52</v>
      </c>
    </row>
    <row r="208" spans="1:31" ht="18" customHeight="1" x14ac:dyDescent="0.2">
      <c r="A208" s="30" t="s">
        <v>34</v>
      </c>
      <c r="B208" s="30" t="s">
        <v>22</v>
      </c>
      <c r="C208" s="4">
        <v>0</v>
      </c>
      <c r="D208" s="4">
        <v>0</v>
      </c>
      <c r="F208" s="106" t="s">
        <v>57</v>
      </c>
      <c r="H208" s="61">
        <v>0</v>
      </c>
      <c r="I208" s="61">
        <v>0</v>
      </c>
      <c r="J208" s="61">
        <v>0</v>
      </c>
      <c r="K208" s="86">
        <v>0</v>
      </c>
      <c r="L208" s="86">
        <v>0</v>
      </c>
      <c r="M208" s="61">
        <v>0</v>
      </c>
      <c r="N208" s="61">
        <v>0</v>
      </c>
      <c r="O208" s="61">
        <v>0</v>
      </c>
      <c r="P208" s="61">
        <v>0</v>
      </c>
      <c r="Q208" s="61">
        <v>0</v>
      </c>
      <c r="R208" s="61">
        <v>0</v>
      </c>
      <c r="S208" s="61">
        <v>0</v>
      </c>
      <c r="T208" s="61">
        <v>0</v>
      </c>
      <c r="U208" s="61">
        <v>0</v>
      </c>
      <c r="V208" s="61">
        <v>0</v>
      </c>
      <c r="W208" s="61">
        <v>0</v>
      </c>
      <c r="X208" s="61">
        <v>0</v>
      </c>
      <c r="Y208" s="61">
        <v>0</v>
      </c>
      <c r="AA208" s="61">
        <v>0</v>
      </c>
      <c r="AB208" s="60">
        <v>0</v>
      </c>
      <c r="AD208" s="61">
        <v>0</v>
      </c>
      <c r="AE208" s="60">
        <v>0</v>
      </c>
    </row>
    <row r="209" spans="1:31" ht="18" customHeight="1" x14ac:dyDescent="0.2">
      <c r="A209" s="30" t="s">
        <v>221</v>
      </c>
      <c r="B209" s="30" t="s">
        <v>22</v>
      </c>
      <c r="C209" s="4">
        <v>1</v>
      </c>
      <c r="D209" s="4">
        <v>0.18493150684931509</v>
      </c>
      <c r="F209" s="106" t="s">
        <v>379</v>
      </c>
      <c r="H209" s="61">
        <v>10.6</v>
      </c>
      <c r="I209" s="61">
        <v>4.718</v>
      </c>
      <c r="J209" s="61">
        <v>4.718</v>
      </c>
      <c r="K209" s="86">
        <v>0</v>
      </c>
      <c r="L209" s="86">
        <v>2.92</v>
      </c>
      <c r="M209" s="61">
        <v>0</v>
      </c>
      <c r="N209" s="61">
        <v>0</v>
      </c>
      <c r="O209" s="61">
        <v>0.54500000000000004</v>
      </c>
      <c r="P209" s="61">
        <v>0</v>
      </c>
      <c r="Q209" s="61">
        <v>0</v>
      </c>
      <c r="R209" s="61">
        <v>0</v>
      </c>
      <c r="S209" s="61">
        <v>1.069</v>
      </c>
      <c r="T209" s="61">
        <v>1.8460000000000001</v>
      </c>
      <c r="U209" s="61">
        <v>0</v>
      </c>
      <c r="V209" s="61">
        <v>0</v>
      </c>
      <c r="W209" s="61">
        <v>0</v>
      </c>
      <c r="X209" s="61">
        <v>0</v>
      </c>
      <c r="Y209" s="61">
        <v>3.46</v>
      </c>
      <c r="AA209" s="61">
        <v>0</v>
      </c>
      <c r="AB209" s="60">
        <v>3.46</v>
      </c>
      <c r="AD209" s="61">
        <v>2.92</v>
      </c>
      <c r="AE209" s="60">
        <v>0.54</v>
      </c>
    </row>
    <row r="210" spans="1:31" ht="18" customHeight="1" x14ac:dyDescent="0.2">
      <c r="A210" s="30" t="s">
        <v>430</v>
      </c>
      <c r="B210" s="30" t="s">
        <v>22</v>
      </c>
      <c r="C210" s="4">
        <v>0</v>
      </c>
      <c r="D210" s="4">
        <v>0</v>
      </c>
      <c r="F210" s="106" t="s">
        <v>431</v>
      </c>
      <c r="H210" s="61">
        <v>-1.532</v>
      </c>
      <c r="I210" s="61">
        <v>-0.32300000000000001</v>
      </c>
      <c r="J210" s="61">
        <v>-0.32300000000000001</v>
      </c>
      <c r="K210" s="86">
        <v>0</v>
      </c>
      <c r="L210" s="86">
        <v>0</v>
      </c>
      <c r="M210" s="61">
        <v>0</v>
      </c>
      <c r="N210" s="61">
        <v>0</v>
      </c>
      <c r="O210" s="61">
        <v>0</v>
      </c>
      <c r="P210" s="61">
        <v>0</v>
      </c>
      <c r="Q210" s="61">
        <v>0</v>
      </c>
      <c r="R210" s="61">
        <v>0</v>
      </c>
      <c r="S210" s="61">
        <v>0</v>
      </c>
      <c r="T210" s="61">
        <v>0</v>
      </c>
      <c r="U210" s="61">
        <v>0</v>
      </c>
      <c r="V210" s="61">
        <v>0</v>
      </c>
      <c r="W210" s="61">
        <v>0</v>
      </c>
      <c r="X210" s="61">
        <v>0</v>
      </c>
      <c r="Y210" s="61">
        <v>0</v>
      </c>
      <c r="AA210" s="61">
        <v>0</v>
      </c>
      <c r="AB210" s="60">
        <v>0</v>
      </c>
      <c r="AD210" s="61">
        <v>0</v>
      </c>
      <c r="AE210" s="60">
        <v>0</v>
      </c>
    </row>
    <row r="211" spans="1:31" ht="18" customHeight="1" x14ac:dyDescent="0.2">
      <c r="A211" s="30" t="s">
        <v>35</v>
      </c>
      <c r="B211" s="30" t="s">
        <v>22</v>
      </c>
      <c r="C211" s="4">
        <v>-1</v>
      </c>
      <c r="D211" s="4">
        <v>-8.3194675540765387E-3</v>
      </c>
      <c r="F211" s="106" t="s">
        <v>67</v>
      </c>
      <c r="H211" s="61">
        <v>-1.016</v>
      </c>
      <c r="I211" s="61">
        <v>-5.4180000000000001</v>
      </c>
      <c r="J211" s="61">
        <v>-5.4180000000000001</v>
      </c>
      <c r="K211" s="86">
        <v>0</v>
      </c>
      <c r="L211" s="86">
        <v>-6.01</v>
      </c>
      <c r="M211" s="61">
        <v>-0.628</v>
      </c>
      <c r="N211" s="61">
        <v>-0.80300000000000005</v>
      </c>
      <c r="O211" s="61">
        <v>-0.62599999999999989</v>
      </c>
      <c r="P211" s="61">
        <v>-0.57299999999999995</v>
      </c>
      <c r="Q211" s="61">
        <v>5.2000000000000046E-2</v>
      </c>
      <c r="R211" s="61">
        <v>-0.95900000000000007</v>
      </c>
      <c r="S211" s="61">
        <v>-0.5730000000000004</v>
      </c>
      <c r="T211" s="61">
        <v>-0.57599999999999962</v>
      </c>
      <c r="U211" s="61">
        <v>3.0000000000001137E-3</v>
      </c>
      <c r="V211" s="61">
        <v>-0.4300000000000006</v>
      </c>
      <c r="W211" s="61">
        <v>-0.33599999999999941</v>
      </c>
      <c r="X211" s="61">
        <v>-0.61099999999999977</v>
      </c>
      <c r="Y211" s="61">
        <v>-6.06</v>
      </c>
      <c r="AA211" s="61">
        <v>0</v>
      </c>
      <c r="AB211" s="60">
        <v>-6.06</v>
      </c>
      <c r="AD211" s="61">
        <v>-6.0100000000000007</v>
      </c>
      <c r="AE211" s="60">
        <v>-0.05</v>
      </c>
    </row>
    <row r="212" spans="1:31" ht="18" hidden="1" customHeight="1" outlineLevel="1" collapsed="1" x14ac:dyDescent="0.2">
      <c r="A212" s="35"/>
      <c r="B212" s="35"/>
      <c r="C212" s="4"/>
      <c r="D212" s="4"/>
      <c r="F212" s="97" t="s">
        <v>454</v>
      </c>
      <c r="H212" s="74">
        <v>0.40068181818181814</v>
      </c>
      <c r="I212" s="74">
        <v>2.2204545454545453E-2</v>
      </c>
      <c r="J212" s="74">
        <v>2.2204545454545453E-2</v>
      </c>
      <c r="K212" s="112">
        <v>0</v>
      </c>
      <c r="L212" s="112">
        <v>0.10200000000000001</v>
      </c>
      <c r="M212" s="74">
        <v>0</v>
      </c>
      <c r="N212" s="74">
        <v>0</v>
      </c>
      <c r="O212" s="74">
        <v>0</v>
      </c>
      <c r="P212" s="74">
        <v>0</v>
      </c>
      <c r="Q212" s="74">
        <v>0</v>
      </c>
      <c r="R212" s="74">
        <v>0</v>
      </c>
      <c r="S212" s="74">
        <v>0</v>
      </c>
      <c r="T212" s="74">
        <v>0</v>
      </c>
      <c r="U212" s="74">
        <v>0</v>
      </c>
      <c r="V212" s="74">
        <v>0</v>
      </c>
      <c r="W212" s="74">
        <v>1.2240000000000002</v>
      </c>
      <c r="X212" s="74">
        <v>0</v>
      </c>
      <c r="Y212" s="74">
        <v>0.10200000000000002</v>
      </c>
      <c r="AA212" s="74">
        <v>0</v>
      </c>
      <c r="AB212" s="73">
        <v>0.1</v>
      </c>
      <c r="AD212" s="74">
        <v>0.10200000000000001</v>
      </c>
      <c r="AE212" s="73">
        <v>0</v>
      </c>
    </row>
    <row r="213" spans="1:31" ht="18" customHeight="1" collapsed="1" x14ac:dyDescent="0.2">
      <c r="A213" s="30" t="s">
        <v>20</v>
      </c>
      <c r="B213" s="30" t="s">
        <v>22</v>
      </c>
      <c r="C213" s="4">
        <v>-1.000445632798574</v>
      </c>
      <c r="D213" s="4">
        <v>0</v>
      </c>
      <c r="F213" s="106" t="s">
        <v>68</v>
      </c>
      <c r="H213" s="61">
        <v>-17.63</v>
      </c>
      <c r="I213" s="61">
        <v>-0.97699999999999998</v>
      </c>
      <c r="J213" s="61">
        <v>-0.97699999999999998</v>
      </c>
      <c r="K213" s="86">
        <v>0</v>
      </c>
      <c r="L213" s="86">
        <v>-4.4880000000000004</v>
      </c>
      <c r="M213" s="61">
        <v>0</v>
      </c>
      <c r="N213" s="61">
        <v>0</v>
      </c>
      <c r="O213" s="61">
        <v>0</v>
      </c>
      <c r="P213" s="61">
        <v>0</v>
      </c>
      <c r="Q213" s="61">
        <v>0</v>
      </c>
      <c r="R213" s="61">
        <v>0</v>
      </c>
      <c r="S213" s="61">
        <v>0</v>
      </c>
      <c r="T213" s="61">
        <v>0</v>
      </c>
      <c r="U213" s="61">
        <v>0</v>
      </c>
      <c r="V213" s="61">
        <v>0</v>
      </c>
      <c r="W213" s="61">
        <v>-4.4880000000000004</v>
      </c>
      <c r="X213" s="61">
        <v>0</v>
      </c>
      <c r="Y213" s="61">
        <v>-4.4880000000000004</v>
      </c>
      <c r="AA213" s="61">
        <v>0</v>
      </c>
      <c r="AB213" s="60">
        <v>-4.49</v>
      </c>
      <c r="AD213" s="61">
        <v>-4.4880000000000004</v>
      </c>
      <c r="AE213" s="60">
        <v>0</v>
      </c>
    </row>
    <row r="214" spans="1:31" ht="18" customHeight="1" x14ac:dyDescent="0.2">
      <c r="A214" s="35"/>
      <c r="B214" s="35"/>
      <c r="C214" s="4">
        <v>-3.1738084023585273E-3</v>
      </c>
      <c r="D214" s="4">
        <v>-1.9731335780384992E-2</v>
      </c>
      <c r="F214" s="95" t="s">
        <v>275</v>
      </c>
      <c r="H214" s="198">
        <v>-2074.0240000000008</v>
      </c>
      <c r="I214" s="198">
        <v>-2048.6009999999997</v>
      </c>
      <c r="J214" s="198">
        <v>-2048.6009999999997</v>
      </c>
      <c r="K214" s="89">
        <v>-2092.1237700000001</v>
      </c>
      <c r="L214" s="89">
        <v>-2058.1475300000002</v>
      </c>
      <c r="M214" s="64">
        <v>-177.58399999999997</v>
      </c>
      <c r="N214" s="64">
        <v>-169.30999999999997</v>
      </c>
      <c r="O214" s="64">
        <v>-167.87100000000007</v>
      </c>
      <c r="P214" s="64">
        <v>-162.21199999999996</v>
      </c>
      <c r="Q214" s="64">
        <v>-156.06300000000007</v>
      </c>
      <c r="R214" s="64">
        <v>-180.21100000000001</v>
      </c>
      <c r="S214" s="64">
        <v>-145.899</v>
      </c>
      <c r="T214" s="64">
        <v>-130.16600000000003</v>
      </c>
      <c r="U214" s="64">
        <v>-189.38799999999998</v>
      </c>
      <c r="V214" s="64">
        <v>-163.14800000000002</v>
      </c>
      <c r="W214" s="64">
        <v>-262.8669999999999</v>
      </c>
      <c r="X214" s="64">
        <v>-194.04100000000005</v>
      </c>
      <c r="Y214" s="64">
        <v>-2098.7599999999998</v>
      </c>
      <c r="AA214" s="64">
        <v>-2092.1237700000001</v>
      </c>
      <c r="AB214" s="60">
        <v>-6.64</v>
      </c>
      <c r="AD214" s="64">
        <v>-2058.1475300000002</v>
      </c>
      <c r="AE214" s="60">
        <v>-40.61</v>
      </c>
    </row>
    <row r="215" spans="1:31" ht="12.95" customHeight="1" x14ac:dyDescent="0.2">
      <c r="A215" s="35"/>
      <c r="B215" s="35"/>
      <c r="C215" s="4"/>
      <c r="D215" s="4"/>
      <c r="F215" s="39" t="s">
        <v>223</v>
      </c>
      <c r="H215" s="56">
        <v>8.723760565239308E-2</v>
      </c>
      <c r="I215" s="56">
        <v>8.3947831074885348E-2</v>
      </c>
      <c r="J215" s="56">
        <v>8.3947831074885348E-2</v>
      </c>
      <c r="K215" s="109">
        <v>8.804880081218952E-2</v>
      </c>
      <c r="L215" s="109">
        <v>8.4374493656091426E-2</v>
      </c>
      <c r="M215" s="56">
        <v>9.30995778161883E-2</v>
      </c>
      <c r="N215" s="56">
        <v>8.6859092912193347E-2</v>
      </c>
      <c r="O215" s="56">
        <v>8.5918103190164685E-2</v>
      </c>
      <c r="P215" s="56">
        <v>7.5033535936647119E-2</v>
      </c>
      <c r="Q215" s="56">
        <v>7.1983284479796336E-2</v>
      </c>
      <c r="R215" s="56">
        <v>8.4719261172787177E-2</v>
      </c>
      <c r="S215" s="56">
        <v>7.3814943302753067E-2</v>
      </c>
      <c r="T215" s="56">
        <v>6.3680967968716778E-2</v>
      </c>
      <c r="U215" s="56">
        <v>9.1846572557570158E-2</v>
      </c>
      <c r="V215" s="56">
        <v>7.8405666230460247E-2</v>
      </c>
      <c r="W215" s="56">
        <v>0.12144125298386131</v>
      </c>
      <c r="X215" s="56">
        <v>8.7965626307588987E-2</v>
      </c>
      <c r="Y215" s="56">
        <v>8.4622430726059614E-2</v>
      </c>
      <c r="AA215" s="56">
        <v>8.804880081218952E-2</v>
      </c>
      <c r="AB215" s="57"/>
      <c r="AD215" s="56">
        <v>8.4374493656091412E-2</v>
      </c>
      <c r="AE215" s="57"/>
    </row>
    <row r="216" spans="1:31" ht="6.95" customHeight="1" x14ac:dyDescent="0.2">
      <c r="C216" s="4"/>
      <c r="D216" s="4"/>
      <c r="F216" s="96"/>
      <c r="H216" s="16"/>
      <c r="I216" s="16"/>
      <c r="J216" s="16"/>
      <c r="K216" s="85"/>
      <c r="L216" s="85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AA216" s="16"/>
      <c r="AB216" s="20"/>
      <c r="AD216" s="16"/>
      <c r="AE216" s="20"/>
    </row>
    <row r="217" spans="1:31" ht="18" customHeight="1" x14ac:dyDescent="0.2">
      <c r="A217" s="30" t="s">
        <v>70</v>
      </c>
      <c r="B217" s="30" t="s">
        <v>22</v>
      </c>
      <c r="C217" s="4"/>
      <c r="D217" s="4"/>
      <c r="F217" s="97" t="s">
        <v>226</v>
      </c>
      <c r="H217" s="74">
        <v>9.3680000000000003</v>
      </c>
      <c r="I217" s="74">
        <v>8.9990000000000006</v>
      </c>
      <c r="J217" s="74">
        <v>8.9990000000000006</v>
      </c>
      <c r="K217" s="112">
        <v>9</v>
      </c>
      <c r="L217" s="112">
        <v>7.7</v>
      </c>
      <c r="M217" s="74">
        <v>7.6920000000000002</v>
      </c>
      <c r="N217" s="74">
        <v>7.968</v>
      </c>
      <c r="O217" s="74">
        <v>8.0160000000000018</v>
      </c>
      <c r="P217" s="74">
        <v>8.0159999999999982</v>
      </c>
      <c r="Q217" s="74">
        <v>7.9680000000000035</v>
      </c>
      <c r="R217" s="74">
        <v>8.0159999999999982</v>
      </c>
      <c r="S217" s="74">
        <v>7.0080000000000027</v>
      </c>
      <c r="T217" s="74">
        <v>6.9840000000000018</v>
      </c>
      <c r="U217" s="74">
        <v>7.0079999999999956</v>
      </c>
      <c r="V217" s="74">
        <v>7.0079999999999956</v>
      </c>
      <c r="W217" s="74">
        <v>6.9840000000000089</v>
      </c>
      <c r="X217" s="74">
        <v>7.0079999999999956</v>
      </c>
      <c r="Y217" s="74">
        <v>7.4729999999999999</v>
      </c>
      <c r="AA217" s="74">
        <v>9</v>
      </c>
      <c r="AB217" s="73">
        <v>-1.53</v>
      </c>
      <c r="AD217" s="74">
        <v>7.7</v>
      </c>
      <c r="AE217" s="73">
        <v>-0.23</v>
      </c>
    </row>
    <row r="218" spans="1:31" ht="12.95" customHeight="1" x14ac:dyDescent="0.2">
      <c r="A218" s="35"/>
      <c r="B218" s="35"/>
      <c r="C218" s="4"/>
      <c r="D218" s="4"/>
      <c r="F218" s="39" t="s">
        <v>71</v>
      </c>
      <c r="H218" s="132">
        <v>-6550.9180187873608</v>
      </c>
      <c r="I218" s="132">
        <v>-8775.0861206800728</v>
      </c>
      <c r="J218" s="132">
        <v>-8775.0861206800728</v>
      </c>
      <c r="K218" s="133">
        <v>-8130.6666666666652</v>
      </c>
      <c r="L218" s="133">
        <v>-6599.4805194805194</v>
      </c>
      <c r="M218" s="132">
        <v>-502.21008840353619</v>
      </c>
      <c r="N218" s="132">
        <v>-493.59939759036155</v>
      </c>
      <c r="O218" s="132">
        <v>-513.22355289421148</v>
      </c>
      <c r="P218" s="132">
        <v>-585.32934131736545</v>
      </c>
      <c r="Q218" s="132">
        <v>-728.28815261044144</v>
      </c>
      <c r="R218" s="132">
        <v>-462.94910179640726</v>
      </c>
      <c r="S218" s="132">
        <v>-849.31506849315008</v>
      </c>
      <c r="T218" s="132">
        <v>-351.80412371134025</v>
      </c>
      <c r="U218" s="132">
        <v>-252.99657534246603</v>
      </c>
      <c r="V218" s="132">
        <v>-665.52511415525134</v>
      </c>
      <c r="W218" s="132">
        <v>-817.58304696448909</v>
      </c>
      <c r="X218" s="132">
        <v>-790.66780821917928</v>
      </c>
      <c r="Y218" s="132">
        <v>-6986.8861233774933</v>
      </c>
      <c r="AA218" s="132">
        <v>-8130.6666666666652</v>
      </c>
      <c r="AB218" s="134">
        <v>1143.78</v>
      </c>
      <c r="AD218" s="132">
        <v>-6599.4805194805194</v>
      </c>
      <c r="AE218" s="134">
        <v>-387.41</v>
      </c>
    </row>
    <row r="219" spans="1:31" ht="18" customHeight="1" x14ac:dyDescent="0.2">
      <c r="A219" s="30" t="s">
        <v>63</v>
      </c>
      <c r="B219" s="30" t="s">
        <v>22</v>
      </c>
      <c r="C219" s="4">
        <v>0.20980598586253571</v>
      </c>
      <c r="D219" s="4">
        <v>5.7409400789379256E-2</v>
      </c>
      <c r="F219" s="106" t="s">
        <v>201</v>
      </c>
      <c r="H219" s="61">
        <v>-29.971</v>
      </c>
      <c r="I219" s="61">
        <v>-22.638999999999999</v>
      </c>
      <c r="J219" s="61">
        <v>-22.638999999999999</v>
      </c>
      <c r="K219" s="86">
        <v>-26.596</v>
      </c>
      <c r="L219" s="86">
        <v>-22.295999999999999</v>
      </c>
      <c r="M219" s="61">
        <v>-1.716</v>
      </c>
      <c r="N219" s="61">
        <v>-1.8129999999999999</v>
      </c>
      <c r="O219" s="61">
        <v>-1.8150000000000004</v>
      </c>
      <c r="P219" s="61">
        <v>-1.8129999999999997</v>
      </c>
      <c r="Q219" s="61">
        <v>-3.6180000000000003</v>
      </c>
      <c r="R219" s="61">
        <v>-1.5679999999999996</v>
      </c>
      <c r="S219" s="61">
        <v>-3.4849999999999994</v>
      </c>
      <c r="T219" s="61">
        <v>-0.76099999999999923</v>
      </c>
      <c r="U219" s="61">
        <v>-7.6000000000000512E-2</v>
      </c>
      <c r="V219" s="61">
        <v>-1.4499999999999993</v>
      </c>
      <c r="W219" s="61">
        <v>-1.4480000000000004</v>
      </c>
      <c r="X219" s="61">
        <v>-1.4500000000000028</v>
      </c>
      <c r="Y219" s="61">
        <v>-21.013000000000002</v>
      </c>
      <c r="AA219" s="61">
        <v>-26.596</v>
      </c>
      <c r="AB219" s="60">
        <v>5.58</v>
      </c>
      <c r="AD219" s="61">
        <v>-22.296000000000003</v>
      </c>
      <c r="AE219" s="60">
        <v>1.28</v>
      </c>
    </row>
    <row r="220" spans="1:31" ht="18" customHeight="1" x14ac:dyDescent="0.2">
      <c r="A220" s="30" t="s">
        <v>64</v>
      </c>
      <c r="B220" s="30" t="s">
        <v>22</v>
      </c>
      <c r="C220" s="4">
        <v>0.22549760644998737</v>
      </c>
      <c r="D220" s="4">
        <v>-0.18580429471518581</v>
      </c>
      <c r="F220" s="106" t="s">
        <v>202</v>
      </c>
      <c r="H220" s="61">
        <v>-19.603000000000002</v>
      </c>
      <c r="I220" s="61">
        <v>-27.582999999999998</v>
      </c>
      <c r="J220" s="61">
        <v>-27.582999999999998</v>
      </c>
      <c r="K220" s="86">
        <v>-23.814</v>
      </c>
      <c r="L220" s="86">
        <v>-15.554</v>
      </c>
      <c r="M220" s="61">
        <v>-2.3519999999999999</v>
      </c>
      <c r="N220" s="61">
        <v>-1.5130000000000003</v>
      </c>
      <c r="O220" s="61">
        <v>-1.2989999999999995</v>
      </c>
      <c r="P220" s="61">
        <v>-1.9940000000000007</v>
      </c>
      <c r="Q220" s="61">
        <v>-1.3419999999999996</v>
      </c>
      <c r="R220" s="61">
        <v>-1.3840000000000003</v>
      </c>
      <c r="S220" s="61">
        <v>-1.879999999999999</v>
      </c>
      <c r="T220" s="61">
        <v>-0.28300000000000125</v>
      </c>
      <c r="U220" s="61">
        <v>-1.423</v>
      </c>
      <c r="V220" s="61">
        <v>-2.1179999999999986</v>
      </c>
      <c r="W220" s="61">
        <v>-0.77500000000000036</v>
      </c>
      <c r="X220" s="61">
        <v>-2.0770000000000017</v>
      </c>
      <c r="Y220" s="61">
        <v>-18.440000000000001</v>
      </c>
      <c r="AA220" s="61">
        <v>-23.814000000000004</v>
      </c>
      <c r="AB220" s="60">
        <v>5.37</v>
      </c>
      <c r="AD220" s="61">
        <v>-15.554</v>
      </c>
      <c r="AE220" s="60">
        <v>-2.89</v>
      </c>
    </row>
    <row r="221" spans="1:31" ht="18" hidden="1" customHeight="1" outlineLevel="1" x14ac:dyDescent="0.2">
      <c r="A221" s="30" t="s">
        <v>150</v>
      </c>
      <c r="B221" s="30" t="s">
        <v>22</v>
      </c>
      <c r="C221" s="4">
        <v>-1.7699836867862968</v>
      </c>
      <c r="D221" s="4">
        <v>-2.5620975160993562</v>
      </c>
      <c r="F221" s="38" t="s">
        <v>151</v>
      </c>
      <c r="G221" s="34"/>
      <c r="H221" s="66">
        <v>-2.5579999999999998</v>
      </c>
      <c r="I221" s="66">
        <v>-6.867</v>
      </c>
      <c r="J221" s="66">
        <v>-6.867</v>
      </c>
      <c r="K221" s="86">
        <v>-1.226</v>
      </c>
      <c r="L221" s="86">
        <v>2.1739999999999999</v>
      </c>
      <c r="M221" s="66">
        <v>-0.41099999999999998</v>
      </c>
      <c r="N221" s="66">
        <v>2.4999999999999967E-2</v>
      </c>
      <c r="O221" s="66">
        <v>0</v>
      </c>
      <c r="P221" s="66">
        <v>-6.7000000000000004E-2</v>
      </c>
      <c r="Q221" s="66">
        <v>-0.11899999999999994</v>
      </c>
      <c r="R221" s="66">
        <v>-0.30300000000000005</v>
      </c>
      <c r="S221" s="66">
        <v>-3.9000000000000035E-2</v>
      </c>
      <c r="T221" s="66">
        <v>-0.14499999999999991</v>
      </c>
      <c r="U221" s="66">
        <v>0</v>
      </c>
      <c r="V221" s="66">
        <v>0</v>
      </c>
      <c r="W221" s="66">
        <v>-2.3369999999999997</v>
      </c>
      <c r="X221" s="66">
        <v>0</v>
      </c>
      <c r="Y221" s="66">
        <v>-3.3959999999999999</v>
      </c>
      <c r="Z221" s="34"/>
      <c r="AA221" s="66">
        <v>-1.226</v>
      </c>
      <c r="AB221" s="60">
        <v>-2.17</v>
      </c>
      <c r="AC221" s="34"/>
      <c r="AD221" s="66">
        <v>2.1739999999999999</v>
      </c>
      <c r="AE221" s="60">
        <v>-5.57</v>
      </c>
    </row>
    <row r="222" spans="1:31" ht="18" hidden="1" customHeight="1" outlineLevel="1" x14ac:dyDescent="0.2">
      <c r="A222" s="30" t="s">
        <v>168</v>
      </c>
      <c r="B222" s="30" t="s">
        <v>22</v>
      </c>
      <c r="C222" s="4">
        <v>0.2454611474219317</v>
      </c>
      <c r="D222" s="4">
        <v>0.2454611474219317</v>
      </c>
      <c r="F222" s="38" t="s">
        <v>169</v>
      </c>
      <c r="G222" s="34"/>
      <c r="H222" s="66">
        <v>-6.8490000000000002</v>
      </c>
      <c r="I222" s="66">
        <v>-7.28</v>
      </c>
      <c r="J222" s="66">
        <v>-7.28</v>
      </c>
      <c r="K222" s="86">
        <v>-6.8849999999999998</v>
      </c>
      <c r="L222" s="86">
        <v>-6.8849999999999998</v>
      </c>
      <c r="M222" s="66">
        <v>-0.40200000000000002</v>
      </c>
      <c r="N222" s="66">
        <v>-0.40600000000000003</v>
      </c>
      <c r="O222" s="66">
        <v>-0.40900000000000003</v>
      </c>
      <c r="P222" s="66">
        <v>-0.40599999999999992</v>
      </c>
      <c r="Q222" s="66">
        <v>-0.40900000000000003</v>
      </c>
      <c r="R222" s="66">
        <v>-0.3620000000000001</v>
      </c>
      <c r="S222" s="66">
        <v>-0.45299999999999985</v>
      </c>
      <c r="T222" s="66">
        <v>-1.0310000000000001</v>
      </c>
      <c r="U222" s="66">
        <v>-0.17900000000000027</v>
      </c>
      <c r="V222" s="66">
        <v>-0.37899999999999956</v>
      </c>
      <c r="W222" s="66">
        <v>-0.37699999999999978</v>
      </c>
      <c r="X222" s="66">
        <v>-0.37900000000000045</v>
      </c>
      <c r="Y222" s="66">
        <v>-5.1920000000000002</v>
      </c>
      <c r="Z222" s="34"/>
      <c r="AA222" s="66">
        <v>-6.8850000000000007</v>
      </c>
      <c r="AB222" s="60">
        <v>1.69</v>
      </c>
      <c r="AC222" s="34"/>
      <c r="AD222" s="66">
        <v>-6.8850000000000007</v>
      </c>
      <c r="AE222" s="60">
        <v>1.69</v>
      </c>
    </row>
    <row r="223" spans="1:31" ht="18" hidden="1" customHeight="1" outlineLevel="1" x14ac:dyDescent="0.2">
      <c r="A223" s="30" t="s">
        <v>170</v>
      </c>
      <c r="B223" s="30" t="s">
        <v>22</v>
      </c>
      <c r="C223" s="4">
        <v>-0.10671688637790333</v>
      </c>
      <c r="D223" s="4">
        <v>-0.36349574632637277</v>
      </c>
      <c r="F223" s="38" t="s">
        <v>171</v>
      </c>
      <c r="G223" s="34"/>
      <c r="H223" s="66">
        <v>-0.66800000000000004</v>
      </c>
      <c r="I223" s="66">
        <v>-1.913</v>
      </c>
      <c r="J223" s="66">
        <v>-1.913</v>
      </c>
      <c r="K223" s="86">
        <v>-1.593</v>
      </c>
      <c r="L223" s="86">
        <v>-1.2929999999999999</v>
      </c>
      <c r="M223" s="66">
        <v>-0.88800000000000001</v>
      </c>
      <c r="N223" s="66">
        <v>0</v>
      </c>
      <c r="O223" s="66">
        <v>-0.49999999999999989</v>
      </c>
      <c r="P223" s="66">
        <v>0</v>
      </c>
      <c r="Q223" s="66">
        <v>0</v>
      </c>
      <c r="R223" s="66">
        <v>0</v>
      </c>
      <c r="S223" s="66">
        <v>0</v>
      </c>
      <c r="T223" s="66">
        <v>0</v>
      </c>
      <c r="U223" s="66">
        <v>0</v>
      </c>
      <c r="V223" s="66">
        <v>0</v>
      </c>
      <c r="W223" s="66">
        <v>-0.31000000000000005</v>
      </c>
      <c r="X223" s="66">
        <v>-6.0000000000000053E-2</v>
      </c>
      <c r="Y223" s="66">
        <v>-1.758</v>
      </c>
      <c r="Z223" s="34"/>
      <c r="AA223" s="66">
        <v>-1.593</v>
      </c>
      <c r="AB223" s="60">
        <v>-0.17</v>
      </c>
      <c r="AC223" s="34"/>
      <c r="AD223" s="66">
        <v>-1.2929999999999999</v>
      </c>
      <c r="AE223" s="60">
        <v>-0.47</v>
      </c>
    </row>
    <row r="224" spans="1:31" ht="18" customHeight="1" collapsed="1" x14ac:dyDescent="0.2">
      <c r="A224" s="35"/>
      <c r="B224" s="35"/>
      <c r="C224" s="4">
        <v>-6.5952184666117061E-2</v>
      </c>
      <c r="D224" s="4">
        <v>-0.72285143237841432</v>
      </c>
      <c r="F224" s="106" t="s">
        <v>151</v>
      </c>
      <c r="H224" s="61">
        <v>-10.074999999999999</v>
      </c>
      <c r="I224" s="61">
        <v>-16.059999999999999</v>
      </c>
      <c r="J224" s="61">
        <v>-16.059999999999999</v>
      </c>
      <c r="K224" s="86">
        <v>-9.7040000000000006</v>
      </c>
      <c r="L224" s="86">
        <v>-6.0040000000000004</v>
      </c>
      <c r="M224" s="61">
        <v>-1.7010000000000001</v>
      </c>
      <c r="N224" s="61">
        <v>-0.38100000000000006</v>
      </c>
      <c r="O224" s="61">
        <v>-0.90899999999999992</v>
      </c>
      <c r="P224" s="61">
        <v>-0.47299999999999992</v>
      </c>
      <c r="Q224" s="61">
        <v>-0.52800000000000002</v>
      </c>
      <c r="R224" s="61">
        <v>-0.66500000000000015</v>
      </c>
      <c r="S224" s="61">
        <v>-0.49199999999999988</v>
      </c>
      <c r="T224" s="61">
        <v>-1.1760000000000002</v>
      </c>
      <c r="U224" s="61">
        <v>-0.17900000000000027</v>
      </c>
      <c r="V224" s="61">
        <v>-0.37899999999999956</v>
      </c>
      <c r="W224" s="61">
        <v>-3.0239999999999996</v>
      </c>
      <c r="X224" s="61">
        <v>-0.4390000000000005</v>
      </c>
      <c r="Y224" s="61">
        <v>-10.346</v>
      </c>
      <c r="AA224" s="61">
        <v>-9.7040000000000006</v>
      </c>
      <c r="AB224" s="60">
        <v>-0.64</v>
      </c>
      <c r="AD224" s="61">
        <v>-6.0040000000000004</v>
      </c>
      <c r="AE224" s="60">
        <v>-4.34</v>
      </c>
    </row>
    <row r="225" spans="1:31" ht="18" customHeight="1" collapsed="1" x14ac:dyDescent="0.2">
      <c r="A225" s="30" t="s">
        <v>146</v>
      </c>
      <c r="B225" s="30" t="s">
        <v>22</v>
      </c>
      <c r="C225" s="4">
        <v>0.16806722689075632</v>
      </c>
      <c r="D225" s="4">
        <v>0.16806722689075632</v>
      </c>
      <c r="F225" s="106" t="s">
        <v>147</v>
      </c>
      <c r="H225" s="61">
        <v>-1.3959999999999999</v>
      </c>
      <c r="I225" s="61">
        <v>-2.4990000000000001</v>
      </c>
      <c r="J225" s="61">
        <v>-2.4990000000000001</v>
      </c>
      <c r="K225" s="86">
        <v>-2.1419999999999999</v>
      </c>
      <c r="L225" s="86">
        <v>-2.1419999999999999</v>
      </c>
      <c r="M225" s="61">
        <v>-9.4E-2</v>
      </c>
      <c r="N225" s="61">
        <v>-9.5000000000000001E-2</v>
      </c>
      <c r="O225" s="61">
        <v>-9.1000000000000025E-2</v>
      </c>
      <c r="P225" s="61">
        <v>-9.4999999999999973E-2</v>
      </c>
      <c r="Q225" s="61">
        <v>-0.18400000000000005</v>
      </c>
      <c r="R225" s="61">
        <v>-9.3999999999999972E-2</v>
      </c>
      <c r="S225" s="61">
        <v>-9.4999999999999973E-2</v>
      </c>
      <c r="T225" s="61">
        <v>-9.099999999999997E-2</v>
      </c>
      <c r="U225" s="61">
        <v>-9.5000000000000084E-2</v>
      </c>
      <c r="V225" s="61">
        <v>-0.67099999999999993</v>
      </c>
      <c r="W225" s="61">
        <v>-0.35000000000000009</v>
      </c>
      <c r="X225" s="61">
        <v>0.16800000000000015</v>
      </c>
      <c r="Y225" s="61">
        <v>-1.7869999999999999</v>
      </c>
      <c r="AA225" s="61">
        <v>-2.1419999999999999</v>
      </c>
      <c r="AB225" s="60">
        <v>0.36</v>
      </c>
      <c r="AD225" s="61">
        <v>-2.1419999999999999</v>
      </c>
      <c r="AE225" s="60">
        <v>0.36</v>
      </c>
    </row>
    <row r="226" spans="1:31" ht="18" hidden="1" customHeight="1" outlineLevel="1" x14ac:dyDescent="0.2">
      <c r="A226" s="30" t="s">
        <v>154</v>
      </c>
      <c r="B226" s="30" t="s">
        <v>22</v>
      </c>
      <c r="C226" s="4">
        <v>1.6292974588938716</v>
      </c>
      <c r="D226" s="4">
        <v>2.565055762081784</v>
      </c>
      <c r="F226" s="38" t="s">
        <v>155</v>
      </c>
      <c r="G226" s="34"/>
      <c r="H226" s="66">
        <v>0</v>
      </c>
      <c r="I226" s="66">
        <v>-6.452</v>
      </c>
      <c r="J226" s="66">
        <v>-6.452</v>
      </c>
      <c r="K226" s="86">
        <v>-2.6760000000000002</v>
      </c>
      <c r="L226" s="86">
        <v>-1.0760000000000001</v>
      </c>
      <c r="M226" s="66">
        <v>2</v>
      </c>
      <c r="N226" s="66">
        <v>0</v>
      </c>
      <c r="O226" s="66">
        <v>0</v>
      </c>
      <c r="P226" s="66">
        <v>-0.31699999999999995</v>
      </c>
      <c r="Q226" s="66">
        <v>0</v>
      </c>
      <c r="R226" s="66">
        <v>0</v>
      </c>
      <c r="S226" s="66">
        <v>0</v>
      </c>
      <c r="T226" s="66">
        <v>0</v>
      </c>
      <c r="U226" s="66">
        <v>0</v>
      </c>
      <c r="V226" s="66">
        <v>0</v>
      </c>
      <c r="W226" s="66">
        <v>0</v>
      </c>
      <c r="X226" s="66">
        <v>0</v>
      </c>
      <c r="Y226" s="66">
        <v>1.6830000000000001</v>
      </c>
      <c r="Z226" s="34"/>
      <c r="AA226" s="66">
        <v>-2.6760000000000002</v>
      </c>
      <c r="AB226" s="60">
        <v>4.3600000000000003</v>
      </c>
      <c r="AC226" s="34"/>
      <c r="AD226" s="66">
        <v>-1.0760000000000001</v>
      </c>
      <c r="AE226" s="60">
        <v>2.76</v>
      </c>
    </row>
    <row r="227" spans="1:31" ht="18" hidden="1" customHeight="1" outlineLevel="1" x14ac:dyDescent="0.2">
      <c r="A227" s="30" t="s">
        <v>156</v>
      </c>
      <c r="B227" s="30" t="s">
        <v>22</v>
      </c>
      <c r="C227" s="4">
        <v>0.9976105137395459</v>
      </c>
      <c r="D227" s="4">
        <v>0.97701149425287359</v>
      </c>
      <c r="F227" s="38" t="s">
        <v>157</v>
      </c>
      <c r="G227" s="34"/>
      <c r="H227" s="66">
        <v>-2.1760000000000002</v>
      </c>
      <c r="I227" s="66">
        <v>-1.038</v>
      </c>
      <c r="J227" s="66">
        <v>-1.038</v>
      </c>
      <c r="K227" s="86">
        <v>-1.6739999999999999</v>
      </c>
      <c r="L227" s="86">
        <v>-0.17399999999999999</v>
      </c>
      <c r="M227" s="66">
        <v>0</v>
      </c>
      <c r="N227" s="66">
        <v>0</v>
      </c>
      <c r="O227" s="66">
        <v>0</v>
      </c>
      <c r="P227" s="66">
        <v>0</v>
      </c>
      <c r="Q227" s="66">
        <v>0</v>
      </c>
      <c r="R227" s="66">
        <v>0</v>
      </c>
      <c r="S227" s="66">
        <v>0</v>
      </c>
      <c r="T227" s="66">
        <v>0</v>
      </c>
      <c r="U227" s="66">
        <v>0</v>
      </c>
      <c r="V227" s="66">
        <v>0</v>
      </c>
      <c r="W227" s="66">
        <v>0</v>
      </c>
      <c r="X227" s="66">
        <v>0</v>
      </c>
      <c r="Y227" s="66">
        <v>0</v>
      </c>
      <c r="Z227" s="34"/>
      <c r="AA227" s="66">
        <v>-1.6740000000000002</v>
      </c>
      <c r="AB227" s="60">
        <v>1.67</v>
      </c>
      <c r="AC227" s="34"/>
      <c r="AD227" s="66">
        <v>-0.17400000000000002</v>
      </c>
      <c r="AE227" s="60">
        <v>0.17</v>
      </c>
    </row>
    <row r="228" spans="1:31" ht="18" hidden="1" customHeight="1" outlineLevel="1" x14ac:dyDescent="0.2">
      <c r="A228" s="30" t="s">
        <v>160</v>
      </c>
      <c r="B228" s="30" t="s">
        <v>22</v>
      </c>
      <c r="C228" s="4">
        <v>0</v>
      </c>
      <c r="D228" s="4">
        <v>0</v>
      </c>
      <c r="F228" s="38" t="s">
        <v>161</v>
      </c>
      <c r="G228" s="34"/>
      <c r="H228" s="66">
        <v>5.39</v>
      </c>
      <c r="I228" s="66">
        <v>0</v>
      </c>
      <c r="J228" s="66">
        <v>0</v>
      </c>
      <c r="K228" s="86">
        <v>0</v>
      </c>
      <c r="L228" s="86">
        <v>0</v>
      </c>
      <c r="M228" s="66">
        <v>0</v>
      </c>
      <c r="N228" s="66">
        <v>0</v>
      </c>
      <c r="O228" s="66">
        <v>0</v>
      </c>
      <c r="P228" s="66">
        <v>0</v>
      </c>
      <c r="Q228" s="66">
        <v>0</v>
      </c>
      <c r="R228" s="66">
        <v>0</v>
      </c>
      <c r="S228" s="66">
        <v>0</v>
      </c>
      <c r="T228" s="66">
        <v>0</v>
      </c>
      <c r="U228" s="66">
        <v>0</v>
      </c>
      <c r="V228" s="66">
        <v>0</v>
      </c>
      <c r="W228" s="66">
        <v>0</v>
      </c>
      <c r="X228" s="66">
        <v>0</v>
      </c>
      <c r="Y228" s="66">
        <v>0</v>
      </c>
      <c r="Z228" s="34"/>
      <c r="AA228" s="66">
        <v>0</v>
      </c>
      <c r="AB228" s="60">
        <v>0</v>
      </c>
      <c r="AC228" s="34"/>
      <c r="AD228" s="66">
        <v>0</v>
      </c>
      <c r="AE228" s="60">
        <v>0</v>
      </c>
    </row>
    <row r="229" spans="1:31" ht="18" customHeight="1" collapsed="1" x14ac:dyDescent="0.2">
      <c r="A229" s="35"/>
      <c r="B229" s="35"/>
      <c r="C229" s="4">
        <v>1.3862068965517242</v>
      </c>
      <c r="D229" s="4">
        <v>2.3440000000000003</v>
      </c>
      <c r="F229" s="106" t="s">
        <v>378</v>
      </c>
      <c r="H229" s="61">
        <v>3.2139999999999995</v>
      </c>
      <c r="I229" s="61">
        <v>-7.49</v>
      </c>
      <c r="J229" s="61">
        <v>-7.49</v>
      </c>
      <c r="K229" s="86">
        <v>-4.3499999999999996</v>
      </c>
      <c r="L229" s="86">
        <v>-1.25</v>
      </c>
      <c r="M229" s="61">
        <v>2</v>
      </c>
      <c r="N229" s="61">
        <v>0</v>
      </c>
      <c r="O229" s="61">
        <v>0</v>
      </c>
      <c r="P229" s="61">
        <v>-0.31699999999999995</v>
      </c>
      <c r="Q229" s="61">
        <v>0</v>
      </c>
      <c r="R229" s="61">
        <v>0</v>
      </c>
      <c r="S229" s="61">
        <v>0</v>
      </c>
      <c r="T229" s="61">
        <v>0</v>
      </c>
      <c r="U229" s="61">
        <v>0</v>
      </c>
      <c r="V229" s="61">
        <v>0</v>
      </c>
      <c r="W229" s="61">
        <v>0</v>
      </c>
      <c r="X229" s="61">
        <v>0</v>
      </c>
      <c r="Y229" s="61">
        <v>1.6830000000000001</v>
      </c>
      <c r="AA229" s="61">
        <v>-4.3499999999999996</v>
      </c>
      <c r="AB229" s="60">
        <v>6.03</v>
      </c>
      <c r="AD229" s="61">
        <v>-1.25</v>
      </c>
      <c r="AE229" s="60">
        <v>2.93</v>
      </c>
    </row>
    <row r="230" spans="1:31" ht="18" customHeight="1" x14ac:dyDescent="0.2">
      <c r="A230" s="30" t="s">
        <v>408</v>
      </c>
      <c r="B230" s="30" t="s">
        <v>22</v>
      </c>
      <c r="C230" s="4"/>
      <c r="D230" s="4"/>
      <c r="F230" s="106" t="s">
        <v>409</v>
      </c>
      <c r="H230" s="61">
        <v>-0.622</v>
      </c>
      <c r="I230" s="61">
        <v>-0.57599999999999996</v>
      </c>
      <c r="J230" s="61">
        <v>-0.57599999999999996</v>
      </c>
      <c r="K230" s="86">
        <v>0</v>
      </c>
      <c r="L230" s="86">
        <v>0</v>
      </c>
      <c r="M230" s="61">
        <v>0</v>
      </c>
      <c r="N230" s="61">
        <v>-0.13100000000000001</v>
      </c>
      <c r="O230" s="61">
        <v>0</v>
      </c>
      <c r="P230" s="61">
        <v>0</v>
      </c>
      <c r="Q230" s="61">
        <v>-0.13100000000000001</v>
      </c>
      <c r="R230" s="61">
        <v>0</v>
      </c>
      <c r="S230" s="61">
        <v>0</v>
      </c>
      <c r="T230" s="61">
        <v>-0.124</v>
      </c>
      <c r="U230" s="61">
        <v>0</v>
      </c>
      <c r="V230" s="61">
        <v>0</v>
      </c>
      <c r="W230" s="61">
        <v>-0.11299999999999999</v>
      </c>
      <c r="X230" s="61">
        <v>0</v>
      </c>
      <c r="Y230" s="61">
        <v>-0.499</v>
      </c>
      <c r="AA230" s="61">
        <v>0</v>
      </c>
      <c r="AB230" s="60">
        <v>-0.5</v>
      </c>
      <c r="AD230" s="61">
        <v>0</v>
      </c>
      <c r="AE230" s="60">
        <v>-0.5</v>
      </c>
    </row>
    <row r="231" spans="1:31" ht="18" hidden="1" customHeight="1" outlineLevel="1" x14ac:dyDescent="0.2">
      <c r="A231" s="30" t="s">
        <v>148</v>
      </c>
      <c r="B231" s="30" t="s">
        <v>22</v>
      </c>
      <c r="C231" s="4">
        <v>0</v>
      </c>
      <c r="D231" s="4">
        <v>0</v>
      </c>
      <c r="F231" s="38" t="s">
        <v>149</v>
      </c>
      <c r="G231" s="34"/>
      <c r="H231" s="66">
        <v>0</v>
      </c>
      <c r="I231" s="66">
        <v>0</v>
      </c>
      <c r="J231" s="66">
        <v>0</v>
      </c>
      <c r="K231" s="86">
        <v>0</v>
      </c>
      <c r="L231" s="86">
        <v>0</v>
      </c>
      <c r="M231" s="66">
        <v>0</v>
      </c>
      <c r="N231" s="66">
        <v>0</v>
      </c>
      <c r="O231" s="66">
        <v>0</v>
      </c>
      <c r="P231" s="66">
        <v>0</v>
      </c>
      <c r="Q231" s="66">
        <v>0</v>
      </c>
      <c r="R231" s="66">
        <v>0</v>
      </c>
      <c r="S231" s="66">
        <v>0</v>
      </c>
      <c r="T231" s="66">
        <v>0</v>
      </c>
      <c r="U231" s="66">
        <v>0</v>
      </c>
      <c r="V231" s="66">
        <v>0</v>
      </c>
      <c r="W231" s="66">
        <v>0</v>
      </c>
      <c r="X231" s="66">
        <v>0</v>
      </c>
      <c r="Y231" s="66">
        <v>0</v>
      </c>
      <c r="Z231" s="34"/>
      <c r="AA231" s="66">
        <v>0</v>
      </c>
      <c r="AB231" s="60">
        <v>0</v>
      </c>
      <c r="AC231" s="34"/>
      <c r="AD231" s="66">
        <v>0</v>
      </c>
      <c r="AE231" s="60">
        <v>0</v>
      </c>
    </row>
    <row r="232" spans="1:31" ht="18" hidden="1" customHeight="1" outlineLevel="1" x14ac:dyDescent="0.2">
      <c r="A232" s="30" t="s">
        <v>158</v>
      </c>
      <c r="B232" s="30" t="s">
        <v>22</v>
      </c>
      <c r="C232" s="4">
        <v>0.98055555555555551</v>
      </c>
      <c r="D232" s="4">
        <v>0.96499999999999997</v>
      </c>
      <c r="F232" s="38" t="s">
        <v>159</v>
      </c>
      <c r="G232" s="34"/>
      <c r="H232" s="66">
        <v>-0.19600000000000001</v>
      </c>
      <c r="I232" s="66">
        <v>-0.14099999999999999</v>
      </c>
      <c r="J232" s="66">
        <v>-0.14099999999999999</v>
      </c>
      <c r="K232" s="86">
        <v>-3.6</v>
      </c>
      <c r="L232" s="86">
        <v>-2</v>
      </c>
      <c r="M232" s="66">
        <v>0</v>
      </c>
      <c r="N232" s="66">
        <v>0</v>
      </c>
      <c r="O232" s="66">
        <v>0</v>
      </c>
      <c r="P232" s="66">
        <v>0</v>
      </c>
      <c r="Q232" s="66">
        <v>0</v>
      </c>
      <c r="R232" s="66">
        <v>0</v>
      </c>
      <c r="S232" s="66">
        <v>0</v>
      </c>
      <c r="T232" s="66">
        <v>-2.1999999999999999E-2</v>
      </c>
      <c r="U232" s="66">
        <v>0</v>
      </c>
      <c r="V232" s="66">
        <v>-4.6000000000000006E-2</v>
      </c>
      <c r="W232" s="66">
        <v>0</v>
      </c>
      <c r="X232" s="66">
        <v>0</v>
      </c>
      <c r="Y232" s="66">
        <v>-6.8000000000000005E-2</v>
      </c>
      <c r="Z232" s="34"/>
      <c r="AA232" s="66">
        <v>-3.6</v>
      </c>
      <c r="AB232" s="60">
        <v>3.53</v>
      </c>
      <c r="AC232" s="34"/>
      <c r="AD232" s="66">
        <v>-2</v>
      </c>
      <c r="AE232" s="60">
        <v>1.93</v>
      </c>
    </row>
    <row r="233" spans="1:31" ht="18" hidden="1" customHeight="1" outlineLevel="1" x14ac:dyDescent="0.2">
      <c r="A233" s="30" t="s">
        <v>152</v>
      </c>
      <c r="B233" s="30" t="s">
        <v>22</v>
      </c>
      <c r="C233" s="4">
        <v>0</v>
      </c>
      <c r="D233" s="4">
        <v>0</v>
      </c>
      <c r="F233" s="38" t="s">
        <v>153</v>
      </c>
      <c r="G233" s="34"/>
      <c r="H233" s="66">
        <v>2.5999999999999999E-2</v>
      </c>
      <c r="I233" s="66">
        <v>0</v>
      </c>
      <c r="J233" s="66">
        <v>0</v>
      </c>
      <c r="K233" s="86">
        <v>0</v>
      </c>
      <c r="L233" s="86">
        <v>0</v>
      </c>
      <c r="M233" s="66">
        <v>0</v>
      </c>
      <c r="N233" s="66">
        <v>0</v>
      </c>
      <c r="O233" s="66">
        <v>0</v>
      </c>
      <c r="P233" s="66">
        <v>0</v>
      </c>
      <c r="Q233" s="66">
        <v>0</v>
      </c>
      <c r="R233" s="66">
        <v>0</v>
      </c>
      <c r="S233" s="66">
        <v>0</v>
      </c>
      <c r="T233" s="66">
        <v>0</v>
      </c>
      <c r="U233" s="66">
        <v>0</v>
      </c>
      <c r="V233" s="66">
        <v>0</v>
      </c>
      <c r="W233" s="66">
        <v>0</v>
      </c>
      <c r="X233" s="66">
        <v>0</v>
      </c>
      <c r="Y233" s="66">
        <v>0</v>
      </c>
      <c r="Z233" s="34"/>
      <c r="AA233" s="66">
        <v>0</v>
      </c>
      <c r="AB233" s="60">
        <v>0</v>
      </c>
      <c r="AC233" s="34"/>
      <c r="AD233" s="66">
        <v>0</v>
      </c>
      <c r="AE233" s="60">
        <v>0</v>
      </c>
    </row>
    <row r="234" spans="1:31" ht="18" hidden="1" customHeight="1" outlineLevel="1" x14ac:dyDescent="0.2">
      <c r="A234" s="30" t="s">
        <v>269</v>
      </c>
      <c r="B234" s="30" t="s">
        <v>22</v>
      </c>
      <c r="C234" s="4">
        <v>0</v>
      </c>
      <c r="D234" s="4">
        <v>0</v>
      </c>
      <c r="F234" s="38" t="s">
        <v>271</v>
      </c>
      <c r="G234" s="34"/>
      <c r="H234" s="66">
        <v>0</v>
      </c>
      <c r="I234" s="66">
        <v>0</v>
      </c>
      <c r="J234" s="66">
        <v>0</v>
      </c>
      <c r="K234" s="86">
        <v>0</v>
      </c>
      <c r="L234" s="86">
        <v>0</v>
      </c>
      <c r="M234" s="66">
        <v>0</v>
      </c>
      <c r="N234" s="66">
        <v>0</v>
      </c>
      <c r="O234" s="66">
        <v>0</v>
      </c>
      <c r="P234" s="66">
        <v>0</v>
      </c>
      <c r="Q234" s="66">
        <v>0</v>
      </c>
      <c r="R234" s="66">
        <v>0</v>
      </c>
      <c r="S234" s="66">
        <v>0</v>
      </c>
      <c r="T234" s="66">
        <v>0</v>
      </c>
      <c r="U234" s="66">
        <v>0</v>
      </c>
      <c r="V234" s="66">
        <v>0</v>
      </c>
      <c r="W234" s="66">
        <v>0</v>
      </c>
      <c r="X234" s="66">
        <v>0</v>
      </c>
      <c r="Y234" s="66">
        <v>0</v>
      </c>
      <c r="Z234" s="34"/>
      <c r="AA234" s="66">
        <v>0</v>
      </c>
      <c r="AB234" s="60">
        <v>0</v>
      </c>
      <c r="AC234" s="34"/>
      <c r="AD234" s="66">
        <v>0</v>
      </c>
      <c r="AE234" s="60">
        <v>0</v>
      </c>
    </row>
    <row r="235" spans="1:31" ht="18" hidden="1" customHeight="1" outlineLevel="1" x14ac:dyDescent="0.2">
      <c r="A235" s="30" t="s">
        <v>270</v>
      </c>
      <c r="B235" s="30" t="s">
        <v>22</v>
      </c>
      <c r="C235" s="4">
        <v>0</v>
      </c>
      <c r="D235" s="4">
        <v>0</v>
      </c>
      <c r="F235" s="38" t="s">
        <v>272</v>
      </c>
      <c r="G235" s="34"/>
      <c r="H235" s="66">
        <v>-0.04</v>
      </c>
      <c r="I235" s="66">
        <v>0</v>
      </c>
      <c r="J235" s="66">
        <v>0</v>
      </c>
      <c r="K235" s="86">
        <v>0</v>
      </c>
      <c r="L235" s="86">
        <v>0</v>
      </c>
      <c r="M235" s="66">
        <v>0</v>
      </c>
      <c r="N235" s="66">
        <v>0</v>
      </c>
      <c r="O235" s="66">
        <v>0</v>
      </c>
      <c r="P235" s="66">
        <v>0</v>
      </c>
      <c r="Q235" s="66">
        <v>0</v>
      </c>
      <c r="R235" s="66">
        <v>0</v>
      </c>
      <c r="S235" s="66">
        <v>0</v>
      </c>
      <c r="T235" s="66">
        <v>0</v>
      </c>
      <c r="U235" s="66">
        <v>0</v>
      </c>
      <c r="V235" s="66">
        <v>0</v>
      </c>
      <c r="W235" s="66">
        <v>0</v>
      </c>
      <c r="X235" s="66">
        <v>0</v>
      </c>
      <c r="Y235" s="66">
        <v>0</v>
      </c>
      <c r="Z235" s="34"/>
      <c r="AA235" s="66">
        <v>0</v>
      </c>
      <c r="AB235" s="60">
        <v>0</v>
      </c>
      <c r="AC235" s="34"/>
      <c r="AD235" s="66">
        <v>0</v>
      </c>
      <c r="AE235" s="60">
        <v>0</v>
      </c>
    </row>
    <row r="236" spans="1:31" ht="18" hidden="1" customHeight="1" outlineLevel="1" x14ac:dyDescent="0.2">
      <c r="A236" s="30" t="s">
        <v>162</v>
      </c>
      <c r="B236" s="30" t="s">
        <v>22</v>
      </c>
      <c r="C236" s="4">
        <v>0.41414141414141409</v>
      </c>
      <c r="D236" s="4">
        <v>-0.10828025477707007</v>
      </c>
      <c r="F236" s="38" t="s">
        <v>163</v>
      </c>
      <c r="G236" s="34"/>
      <c r="H236" s="66">
        <v>-2.706</v>
      </c>
      <c r="I236" s="66">
        <v>-1.9790000000000001</v>
      </c>
      <c r="J236" s="66">
        <v>-1.9790000000000001</v>
      </c>
      <c r="K236" s="86">
        <v>-2.97</v>
      </c>
      <c r="L236" s="86">
        <v>-1.57</v>
      </c>
      <c r="M236" s="66">
        <v>0</v>
      </c>
      <c r="N236" s="66">
        <v>0</v>
      </c>
      <c r="O236" s="66">
        <v>0</v>
      </c>
      <c r="P236" s="66">
        <v>0</v>
      </c>
      <c r="Q236" s="66">
        <v>0</v>
      </c>
      <c r="R236" s="66">
        <v>0</v>
      </c>
      <c r="S236" s="66">
        <v>0</v>
      </c>
      <c r="T236" s="66">
        <v>0</v>
      </c>
      <c r="U236" s="66">
        <v>0</v>
      </c>
      <c r="V236" s="66">
        <v>0</v>
      </c>
      <c r="W236" s="66">
        <v>0</v>
      </c>
      <c r="X236" s="66">
        <v>-1.7430000000000001</v>
      </c>
      <c r="Y236" s="66">
        <v>-1.7430000000000001</v>
      </c>
      <c r="Z236" s="34"/>
      <c r="AA236" s="66">
        <v>-2.97</v>
      </c>
      <c r="AB236" s="60">
        <v>1.23</v>
      </c>
      <c r="AC236" s="34"/>
      <c r="AD236" s="66">
        <v>-1.57</v>
      </c>
      <c r="AE236" s="60">
        <v>-0.17</v>
      </c>
    </row>
    <row r="237" spans="1:31" ht="18" hidden="1" customHeight="1" outlineLevel="1" x14ac:dyDescent="0.2">
      <c r="A237" s="30" t="s">
        <v>164</v>
      </c>
      <c r="B237" s="30" t="s">
        <v>22</v>
      </c>
      <c r="C237" s="4">
        <v>0</v>
      </c>
      <c r="D237" s="4">
        <v>0</v>
      </c>
      <c r="F237" s="38" t="s">
        <v>165</v>
      </c>
      <c r="G237" s="34"/>
      <c r="H237" s="66">
        <v>0</v>
      </c>
      <c r="I237" s="66">
        <v>0</v>
      </c>
      <c r="J237" s="66">
        <v>0</v>
      </c>
      <c r="K237" s="86">
        <v>0</v>
      </c>
      <c r="L237" s="8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0</v>
      </c>
      <c r="R237" s="66">
        <v>0</v>
      </c>
      <c r="S237" s="66">
        <v>0</v>
      </c>
      <c r="T237" s="66">
        <v>0</v>
      </c>
      <c r="U237" s="66">
        <v>0</v>
      </c>
      <c r="V237" s="66">
        <v>0</v>
      </c>
      <c r="W237" s="66">
        <v>0</v>
      </c>
      <c r="X237" s="66">
        <v>0</v>
      </c>
      <c r="Y237" s="66">
        <v>0</v>
      </c>
      <c r="Z237" s="34"/>
      <c r="AA237" s="66">
        <v>0</v>
      </c>
      <c r="AB237" s="60">
        <v>0</v>
      </c>
      <c r="AC237" s="34"/>
      <c r="AD237" s="66">
        <v>0</v>
      </c>
      <c r="AE237" s="60">
        <v>0</v>
      </c>
    </row>
    <row r="238" spans="1:31" ht="18" hidden="1" customHeight="1" outlineLevel="1" x14ac:dyDescent="0.2">
      <c r="A238" s="30" t="s">
        <v>166</v>
      </c>
      <c r="B238" s="30" t="s">
        <v>22</v>
      </c>
      <c r="C238" s="4">
        <v>0</v>
      </c>
      <c r="D238" s="4">
        <v>0</v>
      </c>
      <c r="F238" s="38" t="s">
        <v>167</v>
      </c>
      <c r="G238" s="34"/>
      <c r="H238" s="66">
        <v>0</v>
      </c>
      <c r="I238" s="66">
        <v>0</v>
      </c>
      <c r="J238" s="66">
        <v>0</v>
      </c>
      <c r="K238" s="86">
        <v>0</v>
      </c>
      <c r="L238" s="86">
        <v>0</v>
      </c>
      <c r="M238" s="66">
        <v>0</v>
      </c>
      <c r="N238" s="66">
        <v>0</v>
      </c>
      <c r="O238" s="66">
        <v>0</v>
      </c>
      <c r="P238" s="66">
        <v>0</v>
      </c>
      <c r="Q238" s="66">
        <v>0</v>
      </c>
      <c r="R238" s="66">
        <v>0</v>
      </c>
      <c r="S238" s="66">
        <v>0</v>
      </c>
      <c r="T238" s="66">
        <v>0</v>
      </c>
      <c r="U238" s="66">
        <v>0</v>
      </c>
      <c r="V238" s="66">
        <v>0</v>
      </c>
      <c r="W238" s="66">
        <v>0</v>
      </c>
      <c r="X238" s="66">
        <v>0</v>
      </c>
      <c r="Y238" s="66">
        <v>0</v>
      </c>
      <c r="Z238" s="34"/>
      <c r="AA238" s="66">
        <v>0</v>
      </c>
      <c r="AB238" s="60">
        <v>0</v>
      </c>
      <c r="AC238" s="34"/>
      <c r="AD238" s="66">
        <v>0</v>
      </c>
      <c r="AE238" s="60">
        <v>0</v>
      </c>
    </row>
    <row r="239" spans="1:31" ht="18" customHeight="1" collapsed="1" x14ac:dyDescent="0.2">
      <c r="A239" s="35"/>
      <c r="B239" s="35"/>
      <c r="C239" s="4">
        <v>0.72450532724505323</v>
      </c>
      <c r="D239" s="4">
        <v>0.49299719887955179</v>
      </c>
      <c r="F239" s="106" t="s">
        <v>189</v>
      </c>
      <c r="H239" s="61">
        <v>-2.9159999999999999</v>
      </c>
      <c r="I239" s="61">
        <v>-2.12</v>
      </c>
      <c r="J239" s="61">
        <v>-2.12</v>
      </c>
      <c r="K239" s="86">
        <v>-6.57</v>
      </c>
      <c r="L239" s="86">
        <v>-3.5700000000000003</v>
      </c>
      <c r="M239" s="61">
        <v>0</v>
      </c>
      <c r="N239" s="61">
        <v>0</v>
      </c>
      <c r="O239" s="61">
        <v>0</v>
      </c>
      <c r="P239" s="61">
        <v>0</v>
      </c>
      <c r="Q239" s="61">
        <v>0</v>
      </c>
      <c r="R239" s="61">
        <v>0</v>
      </c>
      <c r="S239" s="61">
        <v>0</v>
      </c>
      <c r="T239" s="61">
        <v>-2.1999999999999999E-2</v>
      </c>
      <c r="U239" s="61">
        <v>0</v>
      </c>
      <c r="V239" s="61">
        <v>-4.6000000000000006E-2</v>
      </c>
      <c r="W239" s="61">
        <v>0</v>
      </c>
      <c r="X239" s="61">
        <v>-1.7430000000000001</v>
      </c>
      <c r="Y239" s="61">
        <v>-1.8110000000000002</v>
      </c>
      <c r="AA239" s="61">
        <v>-6.57</v>
      </c>
      <c r="AB239" s="60">
        <v>4.76</v>
      </c>
      <c r="AD239" s="61">
        <v>-3.5700000000000003</v>
      </c>
      <c r="AE239" s="60">
        <v>1.76</v>
      </c>
    </row>
    <row r="240" spans="1:31" ht="18" customHeight="1" x14ac:dyDescent="0.2">
      <c r="A240" s="35"/>
      <c r="B240" s="35"/>
      <c r="C240" s="4">
        <v>0.28643271017820054</v>
      </c>
      <c r="D240" s="4">
        <v>-2.7550377833753144E-2</v>
      </c>
      <c r="F240" s="95" t="s">
        <v>65</v>
      </c>
      <c r="H240" s="195">
        <v>-61.369</v>
      </c>
      <c r="I240" s="195">
        <v>-78.966999999999985</v>
      </c>
      <c r="J240" s="64">
        <v>-78.966999999999985</v>
      </c>
      <c r="K240" s="89">
        <v>-73.175999999999988</v>
      </c>
      <c r="L240" s="89">
        <v>-50.816000000000003</v>
      </c>
      <c r="M240" s="64">
        <v>-3.8630000000000004</v>
      </c>
      <c r="N240" s="64">
        <v>-3.9330000000000007</v>
      </c>
      <c r="O240" s="64">
        <v>-4.1139999999999999</v>
      </c>
      <c r="P240" s="64">
        <v>-4.6920000000000002</v>
      </c>
      <c r="Q240" s="64">
        <v>-5.8029999999999999</v>
      </c>
      <c r="R240" s="64">
        <v>-3.7109999999999999</v>
      </c>
      <c r="S240" s="64">
        <v>-5.9519999999999982</v>
      </c>
      <c r="T240" s="64">
        <v>-2.4570000000000007</v>
      </c>
      <c r="U240" s="64">
        <v>-1.773000000000001</v>
      </c>
      <c r="V240" s="64">
        <v>-4.6639999999999979</v>
      </c>
      <c r="W240" s="64">
        <v>-5.7099999999999991</v>
      </c>
      <c r="X240" s="64">
        <v>-5.5410000000000048</v>
      </c>
      <c r="Y240" s="64">
        <v>-52.213000000000008</v>
      </c>
      <c r="AA240" s="64">
        <v>-73.175999999999988</v>
      </c>
      <c r="AB240" s="60">
        <v>20.96</v>
      </c>
      <c r="AD240" s="64">
        <v>-50.816000000000003</v>
      </c>
      <c r="AE240" s="60">
        <v>-1.4</v>
      </c>
    </row>
    <row r="241" spans="1:31" ht="12.95" customHeight="1" x14ac:dyDescent="0.2">
      <c r="A241" s="35"/>
      <c r="B241" s="35"/>
      <c r="C241" s="4"/>
      <c r="D241" s="4"/>
      <c r="F241" s="39" t="s">
        <v>223</v>
      </c>
      <c r="H241" s="56">
        <v>2.5813031195789965E-3</v>
      </c>
      <c r="I241" s="56">
        <v>3.2359197210635312E-3</v>
      </c>
      <c r="J241" s="56">
        <v>3.2359197210635312E-3</v>
      </c>
      <c r="K241" s="109">
        <v>3.0796739373755017E-3</v>
      </c>
      <c r="L241" s="109">
        <v>2.0832200836584059E-3</v>
      </c>
      <c r="M241" s="56">
        <v>2.0252031100996457E-3</v>
      </c>
      <c r="N241" s="56">
        <v>2.0177001501603953E-3</v>
      </c>
      <c r="O241" s="56">
        <v>2.105587483986736E-3</v>
      </c>
      <c r="P241" s="56">
        <v>2.1703533068746358E-3</v>
      </c>
      <c r="Q241" s="56">
        <v>2.676604959767901E-3</v>
      </c>
      <c r="R241" s="56">
        <v>1.7445837280311034E-3</v>
      </c>
      <c r="S241" s="56">
        <v>3.011306057875559E-3</v>
      </c>
      <c r="T241" s="56">
        <v>1.2020353878826819E-3</v>
      </c>
      <c r="U241" s="56">
        <v>8.5984314288430107E-4</v>
      </c>
      <c r="V241" s="56">
        <v>2.2414251311622968E-3</v>
      </c>
      <c r="W241" s="56">
        <v>2.6379482952894363E-3</v>
      </c>
      <c r="X241" s="56">
        <v>2.511930650585963E-3</v>
      </c>
      <c r="Y241" s="56">
        <v>2.1052387960032361E-3</v>
      </c>
      <c r="AA241" s="56">
        <v>3.0796739373755017E-3</v>
      </c>
      <c r="AB241" s="57"/>
      <c r="AD241" s="56">
        <v>2.0832200836584055E-3</v>
      </c>
      <c r="AE241" s="57"/>
    </row>
    <row r="242" spans="1:31" ht="6.95" customHeight="1" x14ac:dyDescent="0.2">
      <c r="C242" s="4"/>
      <c r="D242" s="4"/>
      <c r="F242" s="96"/>
      <c r="H242" s="16"/>
      <c r="I242" s="16"/>
      <c r="J242" s="16"/>
      <c r="K242" s="85"/>
      <c r="L242" s="85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AA242" s="16"/>
      <c r="AB242" s="20"/>
      <c r="AD242" s="16"/>
      <c r="AE242" s="20"/>
    </row>
    <row r="243" spans="1:31" ht="18" hidden="1" customHeight="1" outlineLevel="1" collapsed="1" x14ac:dyDescent="0.2">
      <c r="A243" s="35"/>
      <c r="B243" s="35"/>
      <c r="C243" s="4"/>
      <c r="D243" s="4"/>
      <c r="F243" s="97" t="s">
        <v>249</v>
      </c>
      <c r="H243" s="74">
        <v>1.4808571428571429</v>
      </c>
      <c r="I243" s="74">
        <v>1.6461714285714286</v>
      </c>
      <c r="J243" s="74">
        <v>1.6461714285714286</v>
      </c>
      <c r="K243" s="112">
        <v>1.5571428571428572</v>
      </c>
      <c r="L243" s="112">
        <v>1.56</v>
      </c>
      <c r="M243" s="74">
        <v>1.4297142857142857</v>
      </c>
      <c r="N243" s="74">
        <v>0.39154285714285725</v>
      </c>
      <c r="O243" s="74">
        <v>0.91268571428571421</v>
      </c>
      <c r="P243" s="74">
        <v>0.76525714285714264</v>
      </c>
      <c r="Q243" s="74">
        <v>0.40182857142857165</v>
      </c>
      <c r="R243" s="74">
        <v>1.1969142857142856</v>
      </c>
      <c r="S243" s="74">
        <v>0.72582857142857171</v>
      </c>
      <c r="T243" s="74">
        <v>1.5702857142857138</v>
      </c>
      <c r="U243" s="74">
        <v>2.5203428571428583</v>
      </c>
      <c r="V243" s="74">
        <v>3.0754285714285707</v>
      </c>
      <c r="W243" s="74">
        <v>1.7893714285714291</v>
      </c>
      <c r="X243" s="74">
        <v>2.0002285714285701</v>
      </c>
      <c r="Y243" s="74">
        <v>1.3982857142857139</v>
      </c>
      <c r="AA243" s="74">
        <v>1.5571428571428572</v>
      </c>
      <c r="AB243" s="73">
        <v>-0.16</v>
      </c>
      <c r="AD243" s="74">
        <v>1.56</v>
      </c>
      <c r="AE243" s="73">
        <v>-0.16</v>
      </c>
    </row>
    <row r="244" spans="1:31" ht="18" hidden="1" customHeight="1" outlineLevel="1" x14ac:dyDescent="0.2">
      <c r="A244" s="30" t="s">
        <v>79</v>
      </c>
      <c r="B244" s="30" t="s">
        <v>22</v>
      </c>
      <c r="C244" s="4">
        <v>0.1020183486238532</v>
      </c>
      <c r="D244" s="4">
        <v>0.10366300366300367</v>
      </c>
      <c r="F244" s="106" t="s">
        <v>83</v>
      </c>
      <c r="H244" s="61">
        <v>-51.83</v>
      </c>
      <c r="I244" s="61">
        <v>-57.616</v>
      </c>
      <c r="J244" s="61">
        <v>-57.616</v>
      </c>
      <c r="K244" s="86">
        <v>-54.5</v>
      </c>
      <c r="L244" s="86">
        <v>-54.6</v>
      </c>
      <c r="M244" s="61">
        <v>-4.17</v>
      </c>
      <c r="N244" s="61">
        <v>-1.1420000000000003</v>
      </c>
      <c r="O244" s="61">
        <v>-2.6619999999999999</v>
      </c>
      <c r="P244" s="61">
        <v>-2.2319999999999993</v>
      </c>
      <c r="Q244" s="61">
        <v>-1.1720000000000006</v>
      </c>
      <c r="R244" s="61">
        <v>-3.4909999999999997</v>
      </c>
      <c r="S244" s="61">
        <v>-2.1170000000000009</v>
      </c>
      <c r="T244" s="61">
        <v>-4.5799999999999983</v>
      </c>
      <c r="U244" s="61">
        <v>-7.3510000000000026</v>
      </c>
      <c r="V244" s="61">
        <v>-8.9699999999999989</v>
      </c>
      <c r="W244" s="61">
        <v>-5.2190000000000012</v>
      </c>
      <c r="X244" s="61">
        <v>-5.8339999999999961</v>
      </c>
      <c r="Y244" s="61">
        <v>-48.94</v>
      </c>
      <c r="AA244" s="61">
        <v>-54.5</v>
      </c>
      <c r="AB244" s="60">
        <v>5.56</v>
      </c>
      <c r="AD244" s="61">
        <v>-54.6</v>
      </c>
      <c r="AE244" s="60">
        <v>5.66</v>
      </c>
    </row>
    <row r="245" spans="1:31" ht="18" hidden="1" customHeight="1" outlineLevel="1" x14ac:dyDescent="0.2">
      <c r="A245" s="30" t="s">
        <v>80</v>
      </c>
      <c r="B245" s="30" t="s">
        <v>22</v>
      </c>
      <c r="C245" s="4">
        <v>0</v>
      </c>
      <c r="D245" s="4">
        <v>0</v>
      </c>
      <c r="F245" s="106" t="s">
        <v>84</v>
      </c>
      <c r="H245" s="61">
        <v>-8.9999999999999993E-3</v>
      </c>
      <c r="I245" s="61">
        <v>-2.8000000000000001E-2</v>
      </c>
      <c r="J245" s="61">
        <v>-2.8000000000000001E-2</v>
      </c>
      <c r="K245" s="86">
        <v>0</v>
      </c>
      <c r="L245" s="86">
        <v>0</v>
      </c>
      <c r="M245" s="61">
        <v>0</v>
      </c>
      <c r="N245" s="61">
        <v>0</v>
      </c>
      <c r="O245" s="61">
        <v>0</v>
      </c>
      <c r="P245" s="61">
        <v>0</v>
      </c>
      <c r="Q245" s="61">
        <v>0</v>
      </c>
      <c r="R245" s="61">
        <v>0</v>
      </c>
      <c r="S245" s="61">
        <v>0</v>
      </c>
      <c r="T245" s="61">
        <v>0</v>
      </c>
      <c r="U245" s="61">
        <v>0</v>
      </c>
      <c r="V245" s="61">
        <v>0</v>
      </c>
      <c r="W245" s="61">
        <v>0</v>
      </c>
      <c r="X245" s="61">
        <v>0</v>
      </c>
      <c r="Y245" s="61">
        <v>0</v>
      </c>
      <c r="AA245" s="61">
        <v>0</v>
      </c>
      <c r="AB245" s="60">
        <v>0</v>
      </c>
      <c r="AD245" s="61">
        <v>0</v>
      </c>
      <c r="AE245" s="60">
        <v>0</v>
      </c>
    </row>
    <row r="246" spans="1:31" ht="18" hidden="1" customHeight="1" outlineLevel="1" x14ac:dyDescent="0.2">
      <c r="A246" s="30" t="s">
        <v>81</v>
      </c>
      <c r="B246" s="30" t="s">
        <v>22</v>
      </c>
      <c r="C246" s="4">
        <v>-0.7142857142857143</v>
      </c>
      <c r="D246" s="4">
        <v>-0.7142857142857143</v>
      </c>
      <c r="F246" s="106" t="s">
        <v>85</v>
      </c>
      <c r="H246" s="61">
        <v>-2.1999999999999999E-2</v>
      </c>
      <c r="I246" s="61">
        <v>-1.7999999999999999E-2</v>
      </c>
      <c r="J246" s="61">
        <v>-1.7999999999999999E-2</v>
      </c>
      <c r="K246" s="86">
        <v>0</v>
      </c>
      <c r="L246" s="86">
        <v>0</v>
      </c>
      <c r="M246" s="61">
        <v>0</v>
      </c>
      <c r="N246" s="61">
        <v>0</v>
      </c>
      <c r="O246" s="61">
        <v>0</v>
      </c>
      <c r="P246" s="61">
        <v>0</v>
      </c>
      <c r="Q246" s="61">
        <v>-1.4E-2</v>
      </c>
      <c r="R246" s="61">
        <v>0</v>
      </c>
      <c r="S246" s="61">
        <v>0</v>
      </c>
      <c r="T246" s="61">
        <v>0</v>
      </c>
      <c r="U246" s="61">
        <v>0</v>
      </c>
      <c r="V246" s="61">
        <v>0</v>
      </c>
      <c r="W246" s="61">
        <v>0</v>
      </c>
      <c r="X246" s="61">
        <v>0</v>
      </c>
      <c r="Y246" s="61">
        <v>-1.4E-2</v>
      </c>
      <c r="AA246" s="61">
        <v>0</v>
      </c>
      <c r="AB246" s="60">
        <v>-0.01</v>
      </c>
      <c r="AD246" s="61">
        <v>0</v>
      </c>
      <c r="AE246" s="60">
        <v>-0.01</v>
      </c>
    </row>
    <row r="247" spans="1:31" ht="18" hidden="1" customHeight="1" outlineLevel="1" x14ac:dyDescent="0.2">
      <c r="A247" s="30" t="s">
        <v>140</v>
      </c>
      <c r="B247" s="30" t="s">
        <v>22</v>
      </c>
      <c r="C247" s="4">
        <v>0</v>
      </c>
      <c r="D247" s="4">
        <v>0</v>
      </c>
      <c r="F247" s="106" t="s">
        <v>141</v>
      </c>
      <c r="H247" s="61">
        <v>0</v>
      </c>
      <c r="I247" s="61">
        <v>0</v>
      </c>
      <c r="J247" s="61">
        <v>0</v>
      </c>
      <c r="K247" s="86">
        <v>0</v>
      </c>
      <c r="L247" s="86">
        <v>0</v>
      </c>
      <c r="M247" s="61">
        <v>0</v>
      </c>
      <c r="N247" s="61">
        <v>0</v>
      </c>
      <c r="O247" s="61">
        <v>0</v>
      </c>
      <c r="P247" s="61">
        <v>0</v>
      </c>
      <c r="Q247" s="61">
        <v>0</v>
      </c>
      <c r="R247" s="61">
        <v>0</v>
      </c>
      <c r="S247" s="61">
        <v>0</v>
      </c>
      <c r="T247" s="61">
        <v>0</v>
      </c>
      <c r="U247" s="61">
        <v>0</v>
      </c>
      <c r="V247" s="61">
        <v>0</v>
      </c>
      <c r="W247" s="61">
        <v>0</v>
      </c>
      <c r="X247" s="61">
        <v>0</v>
      </c>
      <c r="Y247" s="61">
        <v>0</v>
      </c>
      <c r="AA247" s="61">
        <v>0</v>
      </c>
      <c r="AB247" s="60">
        <v>0</v>
      </c>
      <c r="AD247" s="61">
        <v>0</v>
      </c>
      <c r="AE247" s="60">
        <v>0</v>
      </c>
    </row>
    <row r="248" spans="1:31" ht="18" hidden="1" customHeight="1" outlineLevel="1" x14ac:dyDescent="0.2">
      <c r="A248" s="30" t="s">
        <v>123</v>
      </c>
      <c r="B248" s="30" t="s">
        <v>22</v>
      </c>
      <c r="C248" s="4">
        <v>0</v>
      </c>
      <c r="D248" s="4">
        <v>0</v>
      </c>
      <c r="F248" s="106" t="s">
        <v>142</v>
      </c>
      <c r="H248" s="61">
        <v>0</v>
      </c>
      <c r="I248" s="61">
        <v>0</v>
      </c>
      <c r="J248" s="61">
        <v>0</v>
      </c>
      <c r="K248" s="86">
        <v>0</v>
      </c>
      <c r="L248" s="86">
        <v>0</v>
      </c>
      <c r="M248" s="61">
        <v>0</v>
      </c>
      <c r="N248" s="61">
        <v>0</v>
      </c>
      <c r="O248" s="61">
        <v>0</v>
      </c>
      <c r="P248" s="61">
        <v>0</v>
      </c>
      <c r="Q248" s="61">
        <v>0</v>
      </c>
      <c r="R248" s="61">
        <v>0</v>
      </c>
      <c r="S248" s="61">
        <v>0</v>
      </c>
      <c r="T248" s="61">
        <v>0</v>
      </c>
      <c r="U248" s="61">
        <v>0</v>
      </c>
      <c r="V248" s="61">
        <v>0</v>
      </c>
      <c r="W248" s="61">
        <v>0</v>
      </c>
      <c r="X248" s="61">
        <v>0</v>
      </c>
      <c r="Y248" s="61">
        <v>0</v>
      </c>
      <c r="AA248" s="61">
        <v>0</v>
      </c>
      <c r="AB248" s="60">
        <v>0</v>
      </c>
      <c r="AD248" s="61">
        <v>0</v>
      </c>
      <c r="AE248" s="60">
        <v>0</v>
      </c>
    </row>
    <row r="249" spans="1:31" ht="18" hidden="1" customHeight="1" outlineLevel="1" x14ac:dyDescent="0.2">
      <c r="A249" s="30" t="s">
        <v>124</v>
      </c>
      <c r="B249" s="30" t="s">
        <v>22</v>
      </c>
      <c r="C249" s="4">
        <v>0</v>
      </c>
      <c r="D249" s="4">
        <v>0</v>
      </c>
      <c r="F249" s="106" t="s">
        <v>143</v>
      </c>
      <c r="H249" s="61">
        <v>0</v>
      </c>
      <c r="I249" s="61">
        <v>0</v>
      </c>
      <c r="J249" s="61">
        <v>0</v>
      </c>
      <c r="K249" s="86">
        <v>0</v>
      </c>
      <c r="L249" s="86">
        <v>0</v>
      </c>
      <c r="M249" s="61">
        <v>0</v>
      </c>
      <c r="N249" s="61">
        <v>0</v>
      </c>
      <c r="O249" s="61">
        <v>0</v>
      </c>
      <c r="P249" s="61">
        <v>0</v>
      </c>
      <c r="Q249" s="61">
        <v>0</v>
      </c>
      <c r="R249" s="61">
        <v>0</v>
      </c>
      <c r="S249" s="61">
        <v>0</v>
      </c>
      <c r="T249" s="61">
        <v>0</v>
      </c>
      <c r="U249" s="61">
        <v>0</v>
      </c>
      <c r="V249" s="61">
        <v>0</v>
      </c>
      <c r="W249" s="61">
        <v>0</v>
      </c>
      <c r="X249" s="61">
        <v>0</v>
      </c>
      <c r="Y249" s="61">
        <v>0</v>
      </c>
      <c r="AA249" s="61">
        <v>0</v>
      </c>
      <c r="AB249" s="60">
        <v>0</v>
      </c>
      <c r="AD249" s="61">
        <v>0</v>
      </c>
      <c r="AE249" s="60">
        <v>0</v>
      </c>
    </row>
    <row r="250" spans="1:31" ht="18" hidden="1" customHeight="1" outlineLevel="1" x14ac:dyDescent="0.2">
      <c r="A250" s="30" t="s">
        <v>204</v>
      </c>
      <c r="B250" s="30" t="s">
        <v>22</v>
      </c>
      <c r="C250" s="4">
        <v>0</v>
      </c>
      <c r="D250" s="4">
        <v>0</v>
      </c>
      <c r="F250" s="104" t="s">
        <v>139</v>
      </c>
      <c r="G250" s="36"/>
      <c r="H250" s="65">
        <v>1.5049999999999999</v>
      </c>
      <c r="I250" s="65">
        <v>-0.17</v>
      </c>
      <c r="J250" s="65">
        <v>-0.17</v>
      </c>
      <c r="K250" s="90">
        <v>0</v>
      </c>
      <c r="L250" s="90">
        <v>0</v>
      </c>
      <c r="M250" s="65">
        <v>0</v>
      </c>
      <c r="N250" s="65">
        <v>0</v>
      </c>
      <c r="O250" s="65">
        <v>0</v>
      </c>
      <c r="P250" s="65">
        <v>0</v>
      </c>
      <c r="Q250" s="65">
        <v>0</v>
      </c>
      <c r="R250" s="65">
        <v>0</v>
      </c>
      <c r="S250" s="65">
        <v>0</v>
      </c>
      <c r="T250" s="65">
        <v>0</v>
      </c>
      <c r="U250" s="65">
        <v>0</v>
      </c>
      <c r="V250" s="65">
        <v>0</v>
      </c>
      <c r="W250" s="65">
        <v>0</v>
      </c>
      <c r="X250" s="65">
        <v>0</v>
      </c>
      <c r="Y250" s="65">
        <v>0</v>
      </c>
      <c r="Z250" s="36"/>
      <c r="AA250" s="65">
        <v>0</v>
      </c>
      <c r="AB250" s="60">
        <v>0</v>
      </c>
      <c r="AC250" s="36"/>
      <c r="AD250" s="65">
        <v>0</v>
      </c>
      <c r="AE250" s="60">
        <v>0</v>
      </c>
    </row>
    <row r="251" spans="1:31" ht="18" hidden="1" customHeight="1" outlineLevel="1" x14ac:dyDescent="0.2">
      <c r="A251" s="30" t="s">
        <v>82</v>
      </c>
      <c r="B251" s="30" t="s">
        <v>22</v>
      </c>
      <c r="C251" s="4">
        <v>-0.3</v>
      </c>
      <c r="D251" s="4">
        <v>0</v>
      </c>
      <c r="F251" s="106" t="s">
        <v>86</v>
      </c>
      <c r="H251" s="61">
        <v>-1.7250000000000001</v>
      </c>
      <c r="I251" s="61">
        <v>1.268</v>
      </c>
      <c r="J251" s="61">
        <v>1.268</v>
      </c>
      <c r="K251" s="86">
        <v>-1</v>
      </c>
      <c r="L251" s="86">
        <v>-1.3</v>
      </c>
      <c r="M251" s="61">
        <v>-0.20799999999999999</v>
      </c>
      <c r="N251" s="61">
        <v>-0.14399999999999999</v>
      </c>
      <c r="O251" s="61">
        <v>-0.94899999999999995</v>
      </c>
      <c r="P251" s="61">
        <v>0</v>
      </c>
      <c r="Q251" s="61">
        <v>0</v>
      </c>
      <c r="R251" s="61">
        <v>0</v>
      </c>
      <c r="S251" s="61">
        <v>0</v>
      </c>
      <c r="T251" s="61">
        <v>0</v>
      </c>
      <c r="U251" s="61">
        <v>0</v>
      </c>
      <c r="V251" s="61">
        <v>0</v>
      </c>
      <c r="W251" s="61">
        <v>0</v>
      </c>
      <c r="X251" s="61">
        <v>0</v>
      </c>
      <c r="Y251" s="61">
        <v>-1.3009999999999999</v>
      </c>
      <c r="AA251" s="61">
        <v>-1</v>
      </c>
      <c r="AB251" s="60">
        <v>-0.3</v>
      </c>
      <c r="AD251" s="61">
        <v>-1.3</v>
      </c>
      <c r="AE251" s="60">
        <v>0</v>
      </c>
    </row>
    <row r="252" spans="1:31" ht="18" hidden="1" customHeight="1" outlineLevel="1" x14ac:dyDescent="0.2">
      <c r="A252" s="30" t="s">
        <v>144</v>
      </c>
      <c r="B252" s="30" t="s">
        <v>22</v>
      </c>
      <c r="C252" s="4">
        <v>0</v>
      </c>
      <c r="D252" s="4">
        <v>0</v>
      </c>
      <c r="F252" s="106" t="s">
        <v>145</v>
      </c>
      <c r="H252" s="61">
        <v>0</v>
      </c>
      <c r="I252" s="61">
        <v>0</v>
      </c>
      <c r="J252" s="61">
        <v>0</v>
      </c>
      <c r="K252" s="86">
        <v>0</v>
      </c>
      <c r="L252" s="86">
        <v>0</v>
      </c>
      <c r="M252" s="61">
        <v>0</v>
      </c>
      <c r="N252" s="61">
        <v>0</v>
      </c>
      <c r="O252" s="61">
        <v>0</v>
      </c>
      <c r="P252" s="61">
        <v>0</v>
      </c>
      <c r="Q252" s="61">
        <v>0</v>
      </c>
      <c r="R252" s="61">
        <v>0</v>
      </c>
      <c r="S252" s="61">
        <v>0</v>
      </c>
      <c r="T252" s="61">
        <v>0</v>
      </c>
      <c r="U252" s="61">
        <v>0</v>
      </c>
      <c r="V252" s="61">
        <v>0</v>
      </c>
      <c r="W252" s="61">
        <v>0</v>
      </c>
      <c r="X252" s="61">
        <v>0</v>
      </c>
      <c r="Y252" s="61">
        <v>0</v>
      </c>
      <c r="AA252" s="61">
        <v>0</v>
      </c>
      <c r="AB252" s="60">
        <v>0</v>
      </c>
      <c r="AD252" s="61">
        <v>0</v>
      </c>
      <c r="AE252" s="60">
        <v>0</v>
      </c>
    </row>
    <row r="253" spans="1:31" ht="18" customHeight="1" collapsed="1" x14ac:dyDescent="0.2">
      <c r="A253" s="35"/>
      <c r="B253" s="35"/>
      <c r="C253" s="4">
        <v>9.45945945945946E-2</v>
      </c>
      <c r="D253" s="4">
        <v>0.10107334525939178</v>
      </c>
      <c r="F253" s="95" t="s">
        <v>276</v>
      </c>
      <c r="H253" s="64">
        <v>-52.080999999999996</v>
      </c>
      <c r="I253" s="64">
        <v>-56.564</v>
      </c>
      <c r="J253" s="64">
        <v>-56.564</v>
      </c>
      <c r="K253" s="89">
        <v>-55.5</v>
      </c>
      <c r="L253" s="89">
        <v>-55.9</v>
      </c>
      <c r="M253" s="64">
        <v>-4.3780000000000001</v>
      </c>
      <c r="N253" s="64">
        <v>-1.2860000000000003</v>
      </c>
      <c r="O253" s="64">
        <v>-3.6109999999999998</v>
      </c>
      <c r="P253" s="64">
        <v>-2.2319999999999993</v>
      </c>
      <c r="Q253" s="64">
        <v>-1.1860000000000006</v>
      </c>
      <c r="R253" s="64">
        <v>-3.4909999999999997</v>
      </c>
      <c r="S253" s="64">
        <v>-2.1170000000000009</v>
      </c>
      <c r="T253" s="64">
        <v>-4.5799999999999983</v>
      </c>
      <c r="U253" s="64">
        <v>-7.3510000000000026</v>
      </c>
      <c r="V253" s="64">
        <v>-8.9699999999999989</v>
      </c>
      <c r="W253" s="64">
        <v>-5.2190000000000012</v>
      </c>
      <c r="X253" s="64">
        <v>-5.8339999999999961</v>
      </c>
      <c r="Y253" s="64">
        <v>-50.255000000000003</v>
      </c>
      <c r="AA253" s="64">
        <v>-55.5</v>
      </c>
      <c r="AB253" s="60">
        <v>5.25</v>
      </c>
      <c r="AD253" s="64">
        <v>-55.9</v>
      </c>
      <c r="AE253" s="60">
        <v>5.65</v>
      </c>
    </row>
    <row r="254" spans="1:31" ht="12.95" customHeight="1" x14ac:dyDescent="0.2">
      <c r="A254" s="35"/>
      <c r="B254" s="35"/>
      <c r="C254" s="4"/>
      <c r="D254" s="4"/>
      <c r="F254" s="39" t="s">
        <v>223</v>
      </c>
      <c r="H254" s="56">
        <v>2.1906312270167953E-3</v>
      </c>
      <c r="I254" s="56">
        <v>2.3178867514561476E-3</v>
      </c>
      <c r="J254" s="56">
        <v>2.3178867514561476E-3</v>
      </c>
      <c r="K254" s="109">
        <v>2.3357645064548539E-3</v>
      </c>
      <c r="L254" s="109">
        <v>2.2916404808821017E-3</v>
      </c>
      <c r="M254" s="56">
        <v>2.2951952410086066E-3</v>
      </c>
      <c r="N254" s="56">
        <v>6.597412644562086E-4</v>
      </c>
      <c r="O254" s="56">
        <v>1.8481469141166998E-3</v>
      </c>
      <c r="P254" s="56">
        <v>1.0324442840887011E-3</v>
      </c>
      <c r="Q254" s="56">
        <v>5.4703661593739992E-4</v>
      </c>
      <c r="R254" s="56">
        <v>1.6411592009044952E-3</v>
      </c>
      <c r="S254" s="56">
        <v>1.0710576150071509E-3</v>
      </c>
      <c r="T254" s="56">
        <v>2.2406683258049159E-3</v>
      </c>
      <c r="U254" s="56">
        <v>3.5649785354441598E-3</v>
      </c>
      <c r="V254" s="56">
        <v>4.3108026214677972E-3</v>
      </c>
      <c r="W254" s="56">
        <v>2.411112461141081E-3</v>
      </c>
      <c r="X254" s="56">
        <v>2.6447578804400808E-3</v>
      </c>
      <c r="Y254" s="56">
        <v>2.026291837150568E-3</v>
      </c>
      <c r="AA254" s="56">
        <v>2.3357645064548539E-3</v>
      </c>
      <c r="AB254" s="57"/>
      <c r="AD254" s="56">
        <v>2.2916404808821017E-3</v>
      </c>
      <c r="AE254" s="57"/>
    </row>
    <row r="255" spans="1:31" ht="6.95" customHeight="1" x14ac:dyDescent="0.2">
      <c r="C255" s="4"/>
      <c r="D255" s="4"/>
      <c r="F255" s="96"/>
      <c r="H255" s="53"/>
      <c r="I255" s="53"/>
      <c r="J255" s="53"/>
      <c r="K255" s="115"/>
      <c r="L255" s="115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AA255" s="53"/>
      <c r="AD255" s="53"/>
    </row>
    <row r="256" spans="1:31" ht="18" customHeight="1" x14ac:dyDescent="0.2">
      <c r="A256" s="30" t="s">
        <v>73</v>
      </c>
      <c r="B256" s="30" t="s">
        <v>22</v>
      </c>
      <c r="C256" s="4">
        <v>0.22581818181818181</v>
      </c>
      <c r="D256" s="4">
        <v>0.1484</v>
      </c>
      <c r="F256" s="106" t="s">
        <v>72</v>
      </c>
      <c r="H256" s="61">
        <v>-36.414999999999999</v>
      </c>
      <c r="I256" s="61">
        <v>-44.883000000000003</v>
      </c>
      <c r="J256" s="61">
        <v>-44.883000000000003</v>
      </c>
      <c r="K256" s="86">
        <v>-55</v>
      </c>
      <c r="L256" s="86">
        <v>-50</v>
      </c>
      <c r="M256" s="61">
        <v>-8.2750000000000004</v>
      </c>
      <c r="N256" s="61">
        <v>-8.0289999999999981</v>
      </c>
      <c r="O256" s="61">
        <v>-6.213000000000001</v>
      </c>
      <c r="P256" s="61">
        <v>-3.7480000000000011</v>
      </c>
      <c r="Q256" s="61">
        <v>-4.5960000000000001</v>
      </c>
      <c r="R256" s="61">
        <v>-2.9589999999999996</v>
      </c>
      <c r="S256" s="61">
        <v>-1.3900000000000006</v>
      </c>
      <c r="T256" s="61">
        <v>0.9410000000000025</v>
      </c>
      <c r="U256" s="61">
        <v>-1.1720000000000041</v>
      </c>
      <c r="V256" s="61">
        <v>-1.4839999999999947</v>
      </c>
      <c r="W256" s="61">
        <v>-2.6840000000000046</v>
      </c>
      <c r="X256" s="61">
        <v>-2.9699999999999989</v>
      </c>
      <c r="Y256" s="61">
        <v>-42.579000000000001</v>
      </c>
      <c r="AA256" s="61">
        <v>-55</v>
      </c>
      <c r="AB256" s="60">
        <v>12.42</v>
      </c>
      <c r="AD256" s="61">
        <v>-50</v>
      </c>
      <c r="AE256" s="60">
        <v>7.42</v>
      </c>
    </row>
    <row r="257" spans="1:39" ht="18" customHeight="1" x14ac:dyDescent="0.2">
      <c r="A257" s="30" t="s">
        <v>129</v>
      </c>
      <c r="B257" s="30" t="s">
        <v>22</v>
      </c>
      <c r="C257" s="4">
        <v>4.2727272727272725E-2</v>
      </c>
      <c r="D257" s="4">
        <v>-5.3000000000000005E-2</v>
      </c>
      <c r="F257" s="106" t="s">
        <v>190</v>
      </c>
      <c r="H257" s="61">
        <v>-21.975000000000001</v>
      </c>
      <c r="I257" s="61">
        <v>-29.966000000000001</v>
      </c>
      <c r="J257" s="61">
        <v>-29.966000000000001</v>
      </c>
      <c r="K257" s="86">
        <v>-33</v>
      </c>
      <c r="L257" s="86">
        <v>-30</v>
      </c>
      <c r="M257" s="61">
        <v>-5.335</v>
      </c>
      <c r="N257" s="61">
        <v>-2.5590000000000002</v>
      </c>
      <c r="O257" s="61">
        <v>-2.2040000000000006</v>
      </c>
      <c r="P257" s="61">
        <v>-2.9859999999999989</v>
      </c>
      <c r="Q257" s="61">
        <v>-2.1050000000000004</v>
      </c>
      <c r="R257" s="61">
        <v>-1.125</v>
      </c>
      <c r="S257" s="61">
        <v>-1.6870000000000012</v>
      </c>
      <c r="T257" s="61">
        <v>-2.7769999999999975</v>
      </c>
      <c r="U257" s="61">
        <v>-1.2110000000000021</v>
      </c>
      <c r="V257" s="61">
        <v>-2.7959999999999994</v>
      </c>
      <c r="W257" s="61">
        <v>-3.8939999999999984</v>
      </c>
      <c r="X257" s="61">
        <v>-2.907</v>
      </c>
      <c r="Y257" s="61">
        <v>-31.585999999999999</v>
      </c>
      <c r="AA257" s="61">
        <v>-33</v>
      </c>
      <c r="AB257" s="60">
        <v>1.41</v>
      </c>
      <c r="AD257" s="61">
        <v>-30</v>
      </c>
      <c r="AE257" s="60">
        <v>-1.59</v>
      </c>
    </row>
    <row r="258" spans="1:39" ht="18" customHeight="1" x14ac:dyDescent="0.2">
      <c r="A258" s="30" t="s">
        <v>78</v>
      </c>
      <c r="B258" s="30" t="s">
        <v>22</v>
      </c>
      <c r="C258" s="4">
        <v>0.23399999999999999</v>
      </c>
      <c r="D258" s="4">
        <v>0.16131386861313871</v>
      </c>
      <c r="F258" s="106" t="s">
        <v>77</v>
      </c>
      <c r="H258" s="61">
        <v>-15.696</v>
      </c>
      <c r="I258" s="61">
        <v>-8.6069999999999993</v>
      </c>
      <c r="J258" s="61">
        <v>-8.6069999999999993</v>
      </c>
      <c r="K258" s="86">
        <v>-15</v>
      </c>
      <c r="L258" s="86">
        <v>-13.7</v>
      </c>
      <c r="M258" s="61">
        <v>-0.48899999999999999</v>
      </c>
      <c r="N258" s="61">
        <v>-0.39800000000000002</v>
      </c>
      <c r="O258" s="61">
        <v>-3.2090000000000001</v>
      </c>
      <c r="P258" s="61">
        <v>-0.79300000000000015</v>
      </c>
      <c r="Q258" s="61">
        <v>-3.5159999999999991</v>
      </c>
      <c r="R258" s="61">
        <v>-0.39800000000000146</v>
      </c>
      <c r="S258" s="61">
        <v>-0.25299999999999834</v>
      </c>
      <c r="T258" s="61">
        <v>-0.37800000000000011</v>
      </c>
      <c r="U258" s="61">
        <v>-0.5129999999999999</v>
      </c>
      <c r="V258" s="61">
        <v>-0.27800000000000047</v>
      </c>
      <c r="W258" s="61">
        <v>-0.70400000000000063</v>
      </c>
      <c r="X258" s="61">
        <v>-0.55899999999999928</v>
      </c>
      <c r="Y258" s="61">
        <v>-11.488</v>
      </c>
      <c r="AA258" s="61">
        <v>-15</v>
      </c>
      <c r="AB258" s="60">
        <v>3.51</v>
      </c>
      <c r="AD258" s="61">
        <v>-13.699999999999998</v>
      </c>
      <c r="AE258" s="60">
        <v>2.21</v>
      </c>
    </row>
    <row r="259" spans="1:39" ht="18" customHeight="1" x14ac:dyDescent="0.2">
      <c r="A259" s="30" t="s">
        <v>75</v>
      </c>
      <c r="B259" s="30" t="s">
        <v>22</v>
      </c>
      <c r="C259" s="4">
        <v>6.3913043478260864E-2</v>
      </c>
      <c r="D259" s="4">
        <v>-2.523809523809524E-2</v>
      </c>
      <c r="F259" s="106" t="s">
        <v>76</v>
      </c>
      <c r="H259" s="61">
        <v>-51.558</v>
      </c>
      <c r="I259" s="61">
        <v>-38.645000000000003</v>
      </c>
      <c r="J259" s="61">
        <v>-38.645000000000003</v>
      </c>
      <c r="K259" s="86">
        <v>-46</v>
      </c>
      <c r="L259" s="86">
        <v>-42</v>
      </c>
      <c r="M259" s="61">
        <v>-3.59</v>
      </c>
      <c r="N259" s="61">
        <v>-2.8860000000000001</v>
      </c>
      <c r="O259" s="61">
        <v>-4.5490000000000004</v>
      </c>
      <c r="P259" s="61">
        <v>-3.629999999999999</v>
      </c>
      <c r="Q259" s="61">
        <v>-3.6210000000000004</v>
      </c>
      <c r="R259" s="61">
        <v>1.593</v>
      </c>
      <c r="S259" s="61">
        <v>-5.0740000000000016</v>
      </c>
      <c r="T259" s="61">
        <v>-5.9079999999999977</v>
      </c>
      <c r="U259" s="61">
        <v>-3.6910000000000025</v>
      </c>
      <c r="V259" s="61">
        <v>-3.5609999999999999</v>
      </c>
      <c r="W259" s="61">
        <v>-3.4269999999999996</v>
      </c>
      <c r="X259" s="61">
        <v>-4.7179999999999964</v>
      </c>
      <c r="Y259" s="61">
        <v>-43.061999999999998</v>
      </c>
      <c r="AA259" s="61">
        <v>-46</v>
      </c>
      <c r="AB259" s="60">
        <v>2.94</v>
      </c>
      <c r="AD259" s="61">
        <v>-42</v>
      </c>
      <c r="AE259" s="60">
        <v>-1.06</v>
      </c>
    </row>
    <row r="260" spans="1:39" ht="18" customHeight="1" x14ac:dyDescent="0.2">
      <c r="A260" s="30" t="s">
        <v>181</v>
      </c>
      <c r="B260" s="30" t="s">
        <v>22</v>
      </c>
      <c r="C260" s="4">
        <v>-6.1244635193133043E-2</v>
      </c>
      <c r="D260" s="4">
        <v>-2.7169505271695056E-3</v>
      </c>
      <c r="F260" s="106" t="s">
        <v>182</v>
      </c>
      <c r="H260" s="61">
        <v>-236.83</v>
      </c>
      <c r="I260" s="61">
        <v>-251.423</v>
      </c>
      <c r="J260" s="61">
        <v>-251.423</v>
      </c>
      <c r="K260" s="86">
        <v>-233</v>
      </c>
      <c r="L260" s="86">
        <v>-246.6</v>
      </c>
      <c r="M260" s="61">
        <v>-18.366</v>
      </c>
      <c r="N260" s="61">
        <v>-21.468000000000004</v>
      </c>
      <c r="O260" s="61">
        <v>-23.292999999999999</v>
      </c>
      <c r="P260" s="61">
        <v>-20.759999999999998</v>
      </c>
      <c r="Q260" s="61">
        <v>-21.147000000000006</v>
      </c>
      <c r="R260" s="61">
        <v>-12.909999999999997</v>
      </c>
      <c r="S260" s="61">
        <v>-19.927000000000007</v>
      </c>
      <c r="T260" s="61">
        <v>-23.961999999999989</v>
      </c>
      <c r="U260" s="61">
        <v>-21.962999999999994</v>
      </c>
      <c r="V260" s="61">
        <v>-20.320999999999998</v>
      </c>
      <c r="W260" s="61">
        <v>-20.483000000000004</v>
      </c>
      <c r="X260" s="61">
        <v>-22.665999999999997</v>
      </c>
      <c r="Y260" s="61">
        <v>-247.26599999999999</v>
      </c>
      <c r="AA260" s="61">
        <v>-233</v>
      </c>
      <c r="AB260" s="60">
        <v>-14.27</v>
      </c>
      <c r="AD260" s="61">
        <v>-246.6</v>
      </c>
      <c r="AE260" s="60">
        <v>-0.67</v>
      </c>
    </row>
    <row r="261" spans="1:39" ht="18" customHeight="1" x14ac:dyDescent="0.2">
      <c r="A261" s="30" t="s">
        <v>90</v>
      </c>
      <c r="B261" s="30" t="s">
        <v>22</v>
      </c>
      <c r="C261" s="4">
        <v>0.13905882352941176</v>
      </c>
      <c r="D261" s="4">
        <v>-2.3496503496503496E-2</v>
      </c>
      <c r="F261" s="106" t="s">
        <v>95</v>
      </c>
      <c r="H261" s="61">
        <v>-100.93600000000001</v>
      </c>
      <c r="I261" s="61">
        <v>-73.974000000000004</v>
      </c>
      <c r="J261" s="61">
        <v>-73.974000000000004</v>
      </c>
      <c r="K261" s="86">
        <v>-85</v>
      </c>
      <c r="L261" s="86">
        <v>-71.5</v>
      </c>
      <c r="M261" s="61">
        <v>-6.1779999999999999</v>
      </c>
      <c r="N261" s="61">
        <v>-5.0349999999999993</v>
      </c>
      <c r="O261" s="61">
        <v>-7.043000000000001</v>
      </c>
      <c r="P261" s="61">
        <v>-5.9329999999999998</v>
      </c>
      <c r="Q261" s="61">
        <v>-6.1129999999999995</v>
      </c>
      <c r="R261" s="61">
        <v>-5.1069999999999993</v>
      </c>
      <c r="S261" s="61">
        <v>-4.8079999999999998</v>
      </c>
      <c r="T261" s="61">
        <v>-9.0519999999999996</v>
      </c>
      <c r="U261" s="61">
        <v>-5.8269999999999982</v>
      </c>
      <c r="V261" s="61">
        <v>-5.2050000000000054</v>
      </c>
      <c r="W261" s="61">
        <v>-1.0429999999999993</v>
      </c>
      <c r="X261" s="61">
        <v>-11.838000000000001</v>
      </c>
      <c r="Y261" s="61">
        <v>-73.182000000000002</v>
      </c>
      <c r="AA261" s="61">
        <v>-85</v>
      </c>
      <c r="AB261" s="60">
        <v>11.82</v>
      </c>
      <c r="AD261" s="61">
        <v>-71.5</v>
      </c>
      <c r="AE261" s="60">
        <v>-1.68</v>
      </c>
    </row>
    <row r="262" spans="1:39" ht="18" customHeight="1" x14ac:dyDescent="0.2">
      <c r="A262" s="30" t="s">
        <v>91</v>
      </c>
      <c r="B262" s="30" t="s">
        <v>22</v>
      </c>
      <c r="C262" s="4">
        <v>-0.02</v>
      </c>
      <c r="D262" s="4">
        <v>-0.19739130434782609</v>
      </c>
      <c r="F262" s="106" t="s">
        <v>96</v>
      </c>
      <c r="H262" s="61">
        <v>-6.6719999999999997</v>
      </c>
      <c r="I262" s="61">
        <v>-12.532</v>
      </c>
      <c r="J262" s="61">
        <v>-12.532</v>
      </c>
      <c r="K262" s="86">
        <v>-13.5</v>
      </c>
      <c r="L262" s="86">
        <v>-11.5</v>
      </c>
      <c r="M262" s="61">
        <v>-1.798</v>
      </c>
      <c r="N262" s="61">
        <v>-0.93000000000000016</v>
      </c>
      <c r="O262" s="61">
        <v>-0.78799999999999981</v>
      </c>
      <c r="P262" s="61">
        <v>-0.14500000000000002</v>
      </c>
      <c r="Q262" s="61">
        <v>-0.95700000000000029</v>
      </c>
      <c r="R262" s="61">
        <v>-0.32299999999999951</v>
      </c>
      <c r="S262" s="61">
        <v>-0.60099999999999998</v>
      </c>
      <c r="T262" s="61">
        <v>-1.6450000000000005</v>
      </c>
      <c r="U262" s="61">
        <v>-0.7889999999999997</v>
      </c>
      <c r="V262" s="61">
        <v>-0.52499999999999947</v>
      </c>
      <c r="W262" s="61">
        <v>-1.6660000000000004</v>
      </c>
      <c r="X262" s="61">
        <v>-3.604000000000001</v>
      </c>
      <c r="Y262" s="61">
        <v>-13.771000000000001</v>
      </c>
      <c r="AA262" s="61">
        <v>-13.5</v>
      </c>
      <c r="AB262" s="60">
        <v>-0.27</v>
      </c>
      <c r="AD262" s="61">
        <v>-11.5</v>
      </c>
      <c r="AE262" s="60">
        <v>-2.27</v>
      </c>
    </row>
    <row r="263" spans="1:39" ht="18" customHeight="1" x14ac:dyDescent="0.2">
      <c r="A263" s="30" t="s">
        <v>74</v>
      </c>
      <c r="B263" s="30" t="s">
        <v>22</v>
      </c>
      <c r="C263" s="4">
        <v>0.20269841269841268</v>
      </c>
      <c r="D263" s="4">
        <v>0.11877192982456139</v>
      </c>
      <c r="F263" s="106" t="s">
        <v>97</v>
      </c>
      <c r="H263" s="61">
        <v>-64.004999999999995</v>
      </c>
      <c r="I263" s="61">
        <v>-75.215999999999994</v>
      </c>
      <c r="J263" s="61">
        <v>-75.215999999999994</v>
      </c>
      <c r="K263" s="86">
        <v>-63</v>
      </c>
      <c r="L263" s="86">
        <v>-57</v>
      </c>
      <c r="M263" s="61">
        <v>-6.9459999999999997</v>
      </c>
      <c r="N263" s="61">
        <v>-7.0220000000000002</v>
      </c>
      <c r="O263" s="61">
        <v>12.260999999999999</v>
      </c>
      <c r="P263" s="61">
        <v>-4.3069999999999995</v>
      </c>
      <c r="Q263" s="61">
        <v>-8.4250000000000007</v>
      </c>
      <c r="R263" s="61">
        <v>-2.7059999999999995</v>
      </c>
      <c r="S263" s="61">
        <v>-4.333000000000002</v>
      </c>
      <c r="T263" s="61">
        <v>-4.6169999999999973</v>
      </c>
      <c r="U263" s="61">
        <v>-5.4860000000000007</v>
      </c>
      <c r="V263" s="61">
        <v>-4.7560000000000038</v>
      </c>
      <c r="W263" s="61">
        <v>-7.5879999999999939</v>
      </c>
      <c r="X263" s="61">
        <v>-6.3060000000000045</v>
      </c>
      <c r="Y263" s="61">
        <v>-50.231000000000002</v>
      </c>
      <c r="AA263" s="61">
        <v>-63</v>
      </c>
      <c r="AB263" s="60">
        <v>12.77</v>
      </c>
      <c r="AD263" s="61">
        <v>-57</v>
      </c>
      <c r="AE263" s="60">
        <v>6.77</v>
      </c>
    </row>
    <row r="264" spans="1:39" s="253" customFormat="1" ht="18" customHeight="1" x14ac:dyDescent="0.2">
      <c r="A264" s="268" t="s">
        <v>447</v>
      </c>
      <c r="B264" s="254" t="s">
        <v>22</v>
      </c>
      <c r="C264" s="252">
        <v>0</v>
      </c>
      <c r="D264" s="252">
        <v>0</v>
      </c>
      <c r="F264" s="259" t="s">
        <v>446</v>
      </c>
      <c r="H264" s="257">
        <v>0</v>
      </c>
      <c r="I264" s="257">
        <v>0</v>
      </c>
      <c r="J264" s="257">
        <v>0</v>
      </c>
      <c r="K264" s="258">
        <v>0</v>
      </c>
      <c r="L264" s="258">
        <v>0</v>
      </c>
      <c r="M264" s="257">
        <v>0</v>
      </c>
      <c r="N264" s="257">
        <v>0</v>
      </c>
      <c r="O264" s="257">
        <v>0</v>
      </c>
      <c r="P264" s="257">
        <v>0</v>
      </c>
      <c r="Q264" s="257">
        <v>0</v>
      </c>
      <c r="R264" s="257">
        <v>0</v>
      </c>
      <c r="S264" s="257">
        <v>0</v>
      </c>
      <c r="T264" s="257">
        <v>0</v>
      </c>
      <c r="U264" s="257">
        <v>0</v>
      </c>
      <c r="V264" s="257">
        <v>0</v>
      </c>
      <c r="W264" s="257">
        <v>0</v>
      </c>
      <c r="X264" s="257">
        <v>0</v>
      </c>
      <c r="Y264" s="257">
        <v>0</v>
      </c>
      <c r="AA264" s="257">
        <v>0</v>
      </c>
      <c r="AB264" s="256">
        <v>0</v>
      </c>
      <c r="AD264" s="257">
        <v>0</v>
      </c>
      <c r="AE264" s="256">
        <v>0</v>
      </c>
      <c r="AM264" s="251"/>
    </row>
    <row r="265" spans="1:39" ht="18" customHeight="1" x14ac:dyDescent="0.2">
      <c r="A265" s="30" t="s">
        <v>197</v>
      </c>
      <c r="B265" s="30" t="s">
        <v>22</v>
      </c>
      <c r="C265" s="4">
        <v>0.31571428571428573</v>
      </c>
      <c r="D265" s="4">
        <v>-0.28303571428571433</v>
      </c>
      <c r="F265" s="106" t="s">
        <v>198</v>
      </c>
      <c r="H265" s="61">
        <v>-18.472999999999999</v>
      </c>
      <c r="I265" s="61">
        <v>-16.004999999999999</v>
      </c>
      <c r="J265" s="61">
        <v>-16.004999999999999</v>
      </c>
      <c r="K265" s="86">
        <v>-21</v>
      </c>
      <c r="L265" s="86">
        <v>-11.2</v>
      </c>
      <c r="M265" s="61">
        <v>-1.9570000000000001</v>
      </c>
      <c r="N265" s="61">
        <v>-0.28599999999999981</v>
      </c>
      <c r="O265" s="61">
        <v>-0.28600000000000003</v>
      </c>
      <c r="P265" s="61">
        <v>-0.84400000000000031</v>
      </c>
      <c r="Q265" s="61">
        <v>-0.26999999999999957</v>
      </c>
      <c r="R265" s="61">
        <v>-1.4160000000000004</v>
      </c>
      <c r="S265" s="61">
        <v>-0.5569999999999995</v>
      </c>
      <c r="T265" s="61">
        <v>-0.55700000000000038</v>
      </c>
      <c r="U265" s="61">
        <v>-1.415</v>
      </c>
      <c r="V265" s="61">
        <v>-0.5569999999999995</v>
      </c>
      <c r="W265" s="61">
        <v>-5.7720000000000002</v>
      </c>
      <c r="X265" s="61">
        <v>-0.45500000000000007</v>
      </c>
      <c r="Y265" s="61">
        <v>-14.372</v>
      </c>
      <c r="AA265" s="61">
        <v>-21</v>
      </c>
      <c r="AB265" s="60">
        <v>6.63</v>
      </c>
      <c r="AD265" s="61">
        <v>-11.199999999999998</v>
      </c>
      <c r="AE265" s="60">
        <v>-3.17</v>
      </c>
    </row>
    <row r="266" spans="1:39" ht="18" customHeight="1" x14ac:dyDescent="0.2">
      <c r="A266" s="30" t="s">
        <v>92</v>
      </c>
      <c r="B266" s="30" t="s">
        <v>22</v>
      </c>
      <c r="C266" s="4">
        <v>0.12035533479797499</v>
      </c>
      <c r="D266" s="4">
        <v>0.12332158842015047</v>
      </c>
      <c r="F266" s="106" t="s">
        <v>98</v>
      </c>
      <c r="H266" s="61">
        <v>-26.972999999999999</v>
      </c>
      <c r="I266" s="61">
        <v>-26.007000000000001</v>
      </c>
      <c r="J266" s="61">
        <v>-26.007000000000001</v>
      </c>
      <c r="K266" s="86">
        <v>-20.937999999999999</v>
      </c>
      <c r="L266" s="86">
        <v>-21.001999999999999</v>
      </c>
      <c r="M266" s="61">
        <v>-1.889</v>
      </c>
      <c r="N266" s="61">
        <v>-1.9589999999999999</v>
      </c>
      <c r="O266" s="61">
        <v>-2.0339999999999998</v>
      </c>
      <c r="P266" s="61">
        <v>-1.6340000000000003</v>
      </c>
      <c r="Q266" s="61">
        <v>-1.4730000000000008</v>
      </c>
      <c r="R266" s="61">
        <v>-1.5099999999999998</v>
      </c>
      <c r="S266" s="61">
        <v>-1.4740000000000002</v>
      </c>
      <c r="T266" s="61">
        <v>-1.5039999999999996</v>
      </c>
      <c r="U266" s="61">
        <v>-1.520999999999999</v>
      </c>
      <c r="V266" s="61">
        <v>-1.1820000000000004</v>
      </c>
      <c r="W266" s="61">
        <v>-1.1159999999999997</v>
      </c>
      <c r="X266" s="61">
        <v>-1.1180000000000021</v>
      </c>
      <c r="Y266" s="61">
        <v>-18.414000000000001</v>
      </c>
      <c r="AA266" s="61">
        <v>-20.937999999999999</v>
      </c>
      <c r="AB266" s="60">
        <v>2.52</v>
      </c>
      <c r="AD266" s="61">
        <v>-21.001999999999999</v>
      </c>
      <c r="AE266" s="60">
        <v>2.59</v>
      </c>
    </row>
    <row r="267" spans="1:39" ht="18" hidden="1" customHeight="1" outlineLevel="1" x14ac:dyDescent="0.2">
      <c r="A267" s="30" t="s">
        <v>172</v>
      </c>
      <c r="B267" s="30" t="s">
        <v>22</v>
      </c>
      <c r="C267" s="4">
        <v>0</v>
      </c>
      <c r="D267" s="4">
        <v>0</v>
      </c>
      <c r="F267" s="38" t="s">
        <v>173</v>
      </c>
      <c r="G267" s="34"/>
      <c r="H267" s="66">
        <v>0</v>
      </c>
      <c r="I267" s="66">
        <v>0</v>
      </c>
      <c r="J267" s="66">
        <v>0</v>
      </c>
      <c r="K267" s="86">
        <v>0</v>
      </c>
      <c r="L267" s="86">
        <v>0</v>
      </c>
      <c r="M267" s="66">
        <v>0</v>
      </c>
      <c r="N267" s="66">
        <v>0</v>
      </c>
      <c r="O267" s="66">
        <v>0</v>
      </c>
      <c r="P267" s="66">
        <v>0</v>
      </c>
      <c r="Q267" s="66">
        <v>0</v>
      </c>
      <c r="R267" s="66">
        <v>0</v>
      </c>
      <c r="S267" s="66">
        <v>0</v>
      </c>
      <c r="T267" s="66">
        <v>0</v>
      </c>
      <c r="U267" s="66">
        <v>0</v>
      </c>
      <c r="V267" s="66">
        <v>0</v>
      </c>
      <c r="W267" s="66">
        <v>0</v>
      </c>
      <c r="X267" s="66">
        <v>0</v>
      </c>
      <c r="Y267" s="66">
        <v>0</v>
      </c>
      <c r="Z267" s="34"/>
      <c r="AA267" s="66">
        <v>0</v>
      </c>
      <c r="AB267" s="60">
        <v>0</v>
      </c>
      <c r="AC267" s="34"/>
      <c r="AD267" s="66">
        <v>0</v>
      </c>
      <c r="AE267" s="60">
        <v>0</v>
      </c>
    </row>
    <row r="268" spans="1:39" ht="18" hidden="1" customHeight="1" outlineLevel="1" x14ac:dyDescent="0.2">
      <c r="A268" s="30" t="s">
        <v>88</v>
      </c>
      <c r="B268" s="30" t="s">
        <v>22</v>
      </c>
      <c r="C268" s="4">
        <v>0</v>
      </c>
      <c r="D268" s="4">
        <v>0</v>
      </c>
      <c r="F268" s="38" t="s">
        <v>93</v>
      </c>
      <c r="G268" s="34"/>
      <c r="H268" s="66">
        <v>0</v>
      </c>
      <c r="I268" s="66">
        <v>0</v>
      </c>
      <c r="J268" s="66">
        <v>0</v>
      </c>
      <c r="K268" s="86">
        <v>0</v>
      </c>
      <c r="L268" s="86">
        <v>0</v>
      </c>
      <c r="M268" s="66">
        <v>0</v>
      </c>
      <c r="N268" s="66">
        <v>0</v>
      </c>
      <c r="O268" s="66">
        <v>0</v>
      </c>
      <c r="P268" s="66">
        <v>0</v>
      </c>
      <c r="Q268" s="66">
        <v>0</v>
      </c>
      <c r="R268" s="66">
        <v>0</v>
      </c>
      <c r="S268" s="66">
        <v>0</v>
      </c>
      <c r="T268" s="66">
        <v>0</v>
      </c>
      <c r="U268" s="66">
        <v>0</v>
      </c>
      <c r="V268" s="66">
        <v>0</v>
      </c>
      <c r="W268" s="66">
        <v>0</v>
      </c>
      <c r="X268" s="66">
        <v>0</v>
      </c>
      <c r="Y268" s="66">
        <v>0</v>
      </c>
      <c r="Z268" s="34"/>
      <c r="AA268" s="66">
        <v>0</v>
      </c>
      <c r="AB268" s="60">
        <v>0</v>
      </c>
      <c r="AC268" s="34"/>
      <c r="AD268" s="66">
        <v>0</v>
      </c>
      <c r="AE268" s="60">
        <v>0</v>
      </c>
    </row>
    <row r="269" spans="1:39" ht="18" hidden="1" customHeight="1" outlineLevel="1" x14ac:dyDescent="0.2">
      <c r="A269" s="30" t="s">
        <v>174</v>
      </c>
      <c r="B269" s="30" t="s">
        <v>22</v>
      </c>
      <c r="C269" s="4">
        <v>-0.96491228070175439</v>
      </c>
      <c r="D269" s="4">
        <v>-0.96491228070175439</v>
      </c>
      <c r="F269" s="38" t="s">
        <v>175</v>
      </c>
      <c r="G269" s="34"/>
      <c r="H269" s="66">
        <v>0</v>
      </c>
      <c r="I269" s="66">
        <v>0</v>
      </c>
      <c r="J269" s="66">
        <v>0</v>
      </c>
      <c r="K269" s="86">
        <v>0</v>
      </c>
      <c r="L269" s="86">
        <v>0</v>
      </c>
      <c r="M269" s="66">
        <v>0</v>
      </c>
      <c r="N269" s="66">
        <v>0</v>
      </c>
      <c r="O269" s="66">
        <v>0</v>
      </c>
      <c r="P269" s="66">
        <v>0</v>
      </c>
      <c r="Q269" s="66">
        <v>0</v>
      </c>
      <c r="R269" s="66">
        <v>0</v>
      </c>
      <c r="S269" s="66">
        <v>0</v>
      </c>
      <c r="T269" s="66">
        <v>0</v>
      </c>
      <c r="U269" s="66">
        <v>0</v>
      </c>
      <c r="V269" s="66">
        <v>0</v>
      </c>
      <c r="W269" s="66">
        <v>-0.114</v>
      </c>
      <c r="X269" s="66">
        <v>0</v>
      </c>
      <c r="Y269" s="66">
        <v>-0.114</v>
      </c>
      <c r="Z269" s="34"/>
      <c r="AA269" s="66">
        <v>0</v>
      </c>
      <c r="AB269" s="60">
        <v>-0.11</v>
      </c>
      <c r="AC269" s="34"/>
      <c r="AD269" s="66">
        <v>0</v>
      </c>
      <c r="AE269" s="60">
        <v>-0.11</v>
      </c>
    </row>
    <row r="270" spans="1:39" ht="18" hidden="1" customHeight="1" outlineLevel="1" x14ac:dyDescent="0.2">
      <c r="A270" s="30" t="s">
        <v>191</v>
      </c>
      <c r="B270" s="30" t="s">
        <v>22</v>
      </c>
      <c r="C270" s="4">
        <v>0</v>
      </c>
      <c r="D270" s="4">
        <v>0</v>
      </c>
      <c r="F270" s="38" t="s">
        <v>192</v>
      </c>
      <c r="G270" s="34"/>
      <c r="H270" s="66">
        <v>0</v>
      </c>
      <c r="I270" s="66">
        <v>0</v>
      </c>
      <c r="J270" s="66">
        <v>0</v>
      </c>
      <c r="K270" s="86">
        <v>0</v>
      </c>
      <c r="L270" s="86">
        <v>0</v>
      </c>
      <c r="M270" s="66">
        <v>0</v>
      </c>
      <c r="N270" s="66">
        <v>0</v>
      </c>
      <c r="O270" s="66">
        <v>0</v>
      </c>
      <c r="P270" s="66">
        <v>0</v>
      </c>
      <c r="Q270" s="66">
        <v>0</v>
      </c>
      <c r="R270" s="66">
        <v>0</v>
      </c>
      <c r="S270" s="66">
        <v>0</v>
      </c>
      <c r="T270" s="66">
        <v>0</v>
      </c>
      <c r="U270" s="66">
        <v>0</v>
      </c>
      <c r="V270" s="66">
        <v>0</v>
      </c>
      <c r="W270" s="66">
        <v>0</v>
      </c>
      <c r="X270" s="66">
        <v>0</v>
      </c>
      <c r="Y270" s="66">
        <v>0</v>
      </c>
      <c r="Z270" s="34"/>
      <c r="AA270" s="66">
        <v>0</v>
      </c>
      <c r="AB270" s="60">
        <v>0</v>
      </c>
      <c r="AC270" s="34"/>
      <c r="AD270" s="66">
        <v>0</v>
      </c>
      <c r="AE270" s="60">
        <v>0</v>
      </c>
    </row>
    <row r="271" spans="1:39" ht="18" hidden="1" customHeight="1" outlineLevel="1" x14ac:dyDescent="0.2">
      <c r="A271" s="30" t="s">
        <v>130</v>
      </c>
      <c r="B271" s="30" t="s">
        <v>22</v>
      </c>
      <c r="C271" s="4">
        <v>-1.0009861932938855</v>
      </c>
      <c r="D271" s="4">
        <v>-1.4999999999999999E-2</v>
      </c>
      <c r="F271" s="38" t="s">
        <v>176</v>
      </c>
      <c r="G271" s="34"/>
      <c r="H271" s="66">
        <v>-6.0640000000000001</v>
      </c>
      <c r="I271" s="66">
        <v>-4.1059999999999999</v>
      </c>
      <c r="J271" s="66">
        <v>-4.1059999999999999</v>
      </c>
      <c r="K271" s="86">
        <v>0</v>
      </c>
      <c r="L271" s="86">
        <v>-2</v>
      </c>
      <c r="M271" s="66">
        <v>-2.028</v>
      </c>
      <c r="N271" s="66">
        <v>0</v>
      </c>
      <c r="O271" s="66">
        <v>0</v>
      </c>
      <c r="P271" s="66">
        <v>0</v>
      </c>
      <c r="Q271" s="66">
        <v>0</v>
      </c>
      <c r="R271" s="66">
        <v>0</v>
      </c>
      <c r="S271" s="66">
        <v>0</v>
      </c>
      <c r="T271" s="66">
        <v>0</v>
      </c>
      <c r="U271" s="66">
        <v>0</v>
      </c>
      <c r="V271" s="66">
        <v>0</v>
      </c>
      <c r="W271" s="66">
        <v>0</v>
      </c>
      <c r="X271" s="66">
        <v>0</v>
      </c>
      <c r="Y271" s="66">
        <v>-2.028</v>
      </c>
      <c r="Z271" s="34"/>
      <c r="AA271" s="66">
        <v>0</v>
      </c>
      <c r="AB271" s="60">
        <v>-2.0299999999999998</v>
      </c>
      <c r="AC271" s="34"/>
      <c r="AD271" s="66">
        <v>-2</v>
      </c>
      <c r="AE271" s="60">
        <v>-0.03</v>
      </c>
    </row>
    <row r="272" spans="1:39" ht="18" hidden="1" customHeight="1" outlineLevel="1" x14ac:dyDescent="0.2">
      <c r="A272" s="30" t="s">
        <v>177</v>
      </c>
      <c r="B272" s="30" t="s">
        <v>22</v>
      </c>
      <c r="C272" s="4">
        <v>-1</v>
      </c>
      <c r="D272" s="4">
        <v>-0.35000000000000003</v>
      </c>
      <c r="F272" s="38" t="s">
        <v>178</v>
      </c>
      <c r="G272" s="34"/>
      <c r="H272" s="66">
        <v>0</v>
      </c>
      <c r="I272" s="66">
        <v>0</v>
      </c>
      <c r="J272" s="66">
        <v>0</v>
      </c>
      <c r="K272" s="86">
        <v>0</v>
      </c>
      <c r="L272" s="86">
        <v>-3</v>
      </c>
      <c r="M272" s="66">
        <v>0</v>
      </c>
      <c r="N272" s="66">
        <v>0</v>
      </c>
      <c r="O272" s="66">
        <v>0</v>
      </c>
      <c r="P272" s="66">
        <v>0</v>
      </c>
      <c r="Q272" s="66">
        <v>0</v>
      </c>
      <c r="R272" s="66">
        <v>0</v>
      </c>
      <c r="S272" s="66">
        <v>0</v>
      </c>
      <c r="T272" s="66">
        <v>-0.05</v>
      </c>
      <c r="U272" s="66">
        <v>0</v>
      </c>
      <c r="V272" s="66">
        <v>0</v>
      </c>
      <c r="W272" s="66">
        <v>0</v>
      </c>
      <c r="X272" s="66">
        <v>-4</v>
      </c>
      <c r="Y272" s="66">
        <v>-4.05</v>
      </c>
      <c r="Z272" s="34"/>
      <c r="AA272" s="66">
        <v>0</v>
      </c>
      <c r="AB272" s="60">
        <v>-4.05</v>
      </c>
      <c r="AC272" s="34"/>
      <c r="AD272" s="66">
        <v>-3</v>
      </c>
      <c r="AE272" s="60">
        <v>-1.05</v>
      </c>
    </row>
    <row r="273" spans="1:39" ht="18" hidden="1" customHeight="1" outlineLevel="1" x14ac:dyDescent="0.2">
      <c r="A273" s="30" t="s">
        <v>179</v>
      </c>
      <c r="B273" s="30" t="s">
        <v>22</v>
      </c>
      <c r="C273" s="4">
        <v>0</v>
      </c>
      <c r="D273" s="4">
        <v>0</v>
      </c>
      <c r="F273" s="38" t="s">
        <v>180</v>
      </c>
      <c r="G273" s="34"/>
      <c r="H273" s="66">
        <v>0</v>
      </c>
      <c r="I273" s="66">
        <v>-1.7000000000000001E-2</v>
      </c>
      <c r="J273" s="66">
        <v>-1.7000000000000001E-2</v>
      </c>
      <c r="K273" s="86">
        <v>0</v>
      </c>
      <c r="L273" s="86">
        <v>0</v>
      </c>
      <c r="M273" s="66">
        <v>0</v>
      </c>
      <c r="N273" s="66">
        <v>0</v>
      </c>
      <c r="O273" s="66">
        <v>0</v>
      </c>
      <c r="P273" s="66">
        <v>0</v>
      </c>
      <c r="Q273" s="66">
        <v>0</v>
      </c>
      <c r="R273" s="66">
        <v>0</v>
      </c>
      <c r="S273" s="66">
        <v>0</v>
      </c>
      <c r="T273" s="66">
        <v>0</v>
      </c>
      <c r="U273" s="66">
        <v>0</v>
      </c>
      <c r="V273" s="66">
        <v>0</v>
      </c>
      <c r="W273" s="66">
        <v>0</v>
      </c>
      <c r="X273" s="66">
        <v>0</v>
      </c>
      <c r="Y273" s="66">
        <v>0</v>
      </c>
      <c r="Z273" s="34"/>
      <c r="AA273" s="66">
        <v>0</v>
      </c>
      <c r="AB273" s="60">
        <v>0</v>
      </c>
      <c r="AC273" s="34"/>
      <c r="AD273" s="66">
        <v>0</v>
      </c>
      <c r="AE273" s="60">
        <v>0</v>
      </c>
    </row>
    <row r="274" spans="1:39" ht="18" hidden="1" customHeight="1" outlineLevel="1" x14ac:dyDescent="0.2">
      <c r="A274" s="30" t="s">
        <v>89</v>
      </c>
      <c r="B274" s="30" t="s">
        <v>22</v>
      </c>
      <c r="C274" s="4">
        <v>-1</v>
      </c>
      <c r="D274" s="4">
        <v>-1</v>
      </c>
      <c r="F274" s="38" t="s">
        <v>187</v>
      </c>
      <c r="G274" s="34"/>
      <c r="H274" s="66">
        <v>0</v>
      </c>
      <c r="I274" s="66">
        <v>0</v>
      </c>
      <c r="J274" s="66">
        <v>0</v>
      </c>
      <c r="K274" s="86">
        <v>0</v>
      </c>
      <c r="L274" s="86">
        <v>0</v>
      </c>
      <c r="M274" s="66">
        <v>0</v>
      </c>
      <c r="N274" s="66">
        <v>0</v>
      </c>
      <c r="O274" s="66">
        <v>0</v>
      </c>
      <c r="P274" s="66">
        <v>0</v>
      </c>
      <c r="Q274" s="66">
        <v>-0.01</v>
      </c>
      <c r="R274" s="66">
        <v>0</v>
      </c>
      <c r="S274" s="66">
        <v>0</v>
      </c>
      <c r="T274" s="66">
        <v>-0.01</v>
      </c>
      <c r="U274" s="66">
        <v>0</v>
      </c>
      <c r="V274" s="66">
        <v>-9.9999999999999985E-3</v>
      </c>
      <c r="W274" s="66">
        <v>-2.0000000000000004E-2</v>
      </c>
      <c r="X274" s="66">
        <v>0</v>
      </c>
      <c r="Y274" s="66">
        <v>-0.05</v>
      </c>
      <c r="Z274" s="34"/>
      <c r="AA274" s="66">
        <v>0</v>
      </c>
      <c r="AB274" s="60">
        <v>-0.05</v>
      </c>
      <c r="AC274" s="34"/>
      <c r="AD274" s="66">
        <v>0</v>
      </c>
      <c r="AE274" s="60">
        <v>-0.05</v>
      </c>
    </row>
    <row r="275" spans="1:39" ht="18" hidden="1" customHeight="1" outlineLevel="1" x14ac:dyDescent="0.2">
      <c r="A275" s="30" t="s">
        <v>193</v>
      </c>
      <c r="B275" s="30" t="s">
        <v>22</v>
      </c>
      <c r="C275" s="4">
        <v>0</v>
      </c>
      <c r="D275" s="4">
        <v>0</v>
      </c>
      <c r="F275" s="38" t="s">
        <v>194</v>
      </c>
      <c r="G275" s="34"/>
      <c r="H275" s="66">
        <v>0</v>
      </c>
      <c r="I275" s="66">
        <v>0</v>
      </c>
      <c r="J275" s="66">
        <v>0</v>
      </c>
      <c r="K275" s="86">
        <v>0</v>
      </c>
      <c r="L275" s="86">
        <v>0</v>
      </c>
      <c r="M275" s="66">
        <v>0</v>
      </c>
      <c r="N275" s="66">
        <v>0</v>
      </c>
      <c r="O275" s="66">
        <v>0</v>
      </c>
      <c r="P275" s="66">
        <v>0</v>
      </c>
      <c r="Q275" s="66">
        <v>0</v>
      </c>
      <c r="R275" s="66">
        <v>0</v>
      </c>
      <c r="S275" s="66">
        <v>0</v>
      </c>
      <c r="T275" s="66">
        <v>0</v>
      </c>
      <c r="U275" s="66">
        <v>0</v>
      </c>
      <c r="V275" s="66">
        <v>0</v>
      </c>
      <c r="W275" s="66">
        <v>0</v>
      </c>
      <c r="X275" s="66">
        <v>0</v>
      </c>
      <c r="Y275" s="66">
        <v>0</v>
      </c>
      <c r="Z275" s="34"/>
      <c r="AA275" s="66">
        <v>0</v>
      </c>
      <c r="AB275" s="60">
        <v>0</v>
      </c>
      <c r="AC275" s="34"/>
      <c r="AD275" s="66">
        <v>0</v>
      </c>
      <c r="AE275" s="60">
        <v>0</v>
      </c>
    </row>
    <row r="276" spans="1:39" ht="18" hidden="1" customHeight="1" outlineLevel="1" x14ac:dyDescent="0.2">
      <c r="A276" s="30" t="s">
        <v>127</v>
      </c>
      <c r="B276" s="30" t="s">
        <v>22</v>
      </c>
      <c r="C276" s="4">
        <v>0</v>
      </c>
      <c r="D276" s="4">
        <v>0</v>
      </c>
      <c r="F276" s="38" t="s">
        <v>128</v>
      </c>
      <c r="G276" s="34"/>
      <c r="H276" s="66">
        <v>0</v>
      </c>
      <c r="I276" s="66">
        <v>-0.45800000000000002</v>
      </c>
      <c r="J276" s="66">
        <v>-0.45800000000000002</v>
      </c>
      <c r="K276" s="86">
        <v>0</v>
      </c>
      <c r="L276" s="86">
        <v>0</v>
      </c>
      <c r="M276" s="66">
        <v>0</v>
      </c>
      <c r="N276" s="66">
        <v>0</v>
      </c>
      <c r="O276" s="66">
        <v>0</v>
      </c>
      <c r="P276" s="66">
        <v>0</v>
      </c>
      <c r="Q276" s="66">
        <v>0</v>
      </c>
      <c r="R276" s="66">
        <v>0</v>
      </c>
      <c r="S276" s="66">
        <v>0</v>
      </c>
      <c r="T276" s="66">
        <v>0</v>
      </c>
      <c r="U276" s="66">
        <v>0</v>
      </c>
      <c r="V276" s="66">
        <v>0</v>
      </c>
      <c r="W276" s="66">
        <v>0</v>
      </c>
      <c r="X276" s="66">
        <v>0</v>
      </c>
      <c r="Y276" s="66">
        <v>0</v>
      </c>
      <c r="Z276" s="34"/>
      <c r="AA276" s="66">
        <v>0</v>
      </c>
      <c r="AB276" s="60">
        <v>0</v>
      </c>
      <c r="AC276" s="34"/>
      <c r="AD276" s="66">
        <v>0</v>
      </c>
      <c r="AE276" s="60">
        <v>0</v>
      </c>
    </row>
    <row r="277" spans="1:39" ht="18" hidden="1" customHeight="1" outlineLevel="1" x14ac:dyDescent="0.2">
      <c r="A277" s="30" t="s">
        <v>261</v>
      </c>
      <c r="B277" s="30" t="s">
        <v>22</v>
      </c>
      <c r="C277" s="4">
        <v>0</v>
      </c>
      <c r="D277" s="4">
        <v>0</v>
      </c>
      <c r="F277" s="38" t="s">
        <v>262</v>
      </c>
      <c r="G277" s="34"/>
      <c r="H277" s="66">
        <v>0</v>
      </c>
      <c r="I277" s="66">
        <v>0</v>
      </c>
      <c r="J277" s="66">
        <v>0</v>
      </c>
      <c r="K277" s="86">
        <v>0</v>
      </c>
      <c r="L277" s="86">
        <v>0</v>
      </c>
      <c r="M277" s="66">
        <v>0</v>
      </c>
      <c r="N277" s="66">
        <v>0</v>
      </c>
      <c r="O277" s="66">
        <v>0</v>
      </c>
      <c r="P277" s="66">
        <v>0</v>
      </c>
      <c r="Q277" s="66">
        <v>0</v>
      </c>
      <c r="R277" s="66">
        <v>0</v>
      </c>
      <c r="S277" s="66">
        <v>0</v>
      </c>
      <c r="T277" s="66">
        <v>0</v>
      </c>
      <c r="U277" s="66">
        <v>0</v>
      </c>
      <c r="V277" s="66">
        <v>0</v>
      </c>
      <c r="W277" s="66">
        <v>0</v>
      </c>
      <c r="X277" s="66">
        <v>0</v>
      </c>
      <c r="Y277" s="66">
        <v>0</v>
      </c>
      <c r="Z277" s="34"/>
      <c r="AA277" s="66">
        <v>0</v>
      </c>
      <c r="AB277" s="60">
        <v>0</v>
      </c>
      <c r="AC277" s="34"/>
      <c r="AD277" s="66">
        <v>0</v>
      </c>
      <c r="AE277" s="60">
        <v>0</v>
      </c>
    </row>
    <row r="278" spans="1:39" ht="18" hidden="1" customHeight="1" outlineLevel="1" x14ac:dyDescent="0.2">
      <c r="A278" s="30" t="s">
        <v>263</v>
      </c>
      <c r="B278" s="30" t="s">
        <v>22</v>
      </c>
      <c r="C278" s="4">
        <v>0</v>
      </c>
      <c r="D278" s="4">
        <v>0</v>
      </c>
      <c r="F278" s="38" t="s">
        <v>264</v>
      </c>
      <c r="G278" s="34"/>
      <c r="H278" s="66">
        <v>0</v>
      </c>
      <c r="I278" s="66">
        <v>0</v>
      </c>
      <c r="J278" s="66">
        <v>0</v>
      </c>
      <c r="K278" s="86">
        <v>0</v>
      </c>
      <c r="L278" s="86">
        <v>0</v>
      </c>
      <c r="M278" s="66">
        <v>0</v>
      </c>
      <c r="N278" s="66">
        <v>0</v>
      </c>
      <c r="O278" s="66">
        <v>0</v>
      </c>
      <c r="P278" s="66">
        <v>0</v>
      </c>
      <c r="Q278" s="66">
        <v>0</v>
      </c>
      <c r="R278" s="66">
        <v>0</v>
      </c>
      <c r="S278" s="66">
        <v>0</v>
      </c>
      <c r="T278" s="66">
        <v>0</v>
      </c>
      <c r="U278" s="66">
        <v>0</v>
      </c>
      <c r="V278" s="66">
        <v>0</v>
      </c>
      <c r="W278" s="66">
        <v>0</v>
      </c>
      <c r="X278" s="66">
        <v>0</v>
      </c>
      <c r="Y278" s="66">
        <v>0</v>
      </c>
      <c r="Z278" s="34"/>
      <c r="AA278" s="66">
        <v>0</v>
      </c>
      <c r="AB278" s="60">
        <v>0</v>
      </c>
      <c r="AC278" s="34"/>
      <c r="AD278" s="66">
        <v>0</v>
      </c>
      <c r="AE278" s="60">
        <v>0</v>
      </c>
    </row>
    <row r="279" spans="1:39" ht="18" hidden="1" customHeight="1" outlineLevel="1" x14ac:dyDescent="0.2">
      <c r="A279" s="30" t="s">
        <v>195</v>
      </c>
      <c r="B279" s="30" t="s">
        <v>22</v>
      </c>
      <c r="C279" s="4">
        <v>0</v>
      </c>
      <c r="D279" s="4">
        <v>0</v>
      </c>
      <c r="F279" s="38" t="s">
        <v>196</v>
      </c>
      <c r="G279" s="34"/>
      <c r="H279" s="66">
        <v>0</v>
      </c>
      <c r="I279" s="66">
        <v>0</v>
      </c>
      <c r="J279" s="66">
        <v>0</v>
      </c>
      <c r="K279" s="86">
        <v>0</v>
      </c>
      <c r="L279" s="86">
        <v>0</v>
      </c>
      <c r="M279" s="66">
        <v>0</v>
      </c>
      <c r="N279" s="66">
        <v>0</v>
      </c>
      <c r="O279" s="66">
        <v>0</v>
      </c>
      <c r="P279" s="66">
        <v>0</v>
      </c>
      <c r="Q279" s="66">
        <v>0</v>
      </c>
      <c r="R279" s="66">
        <v>0</v>
      </c>
      <c r="S279" s="66">
        <v>0</v>
      </c>
      <c r="T279" s="66">
        <v>0</v>
      </c>
      <c r="U279" s="66">
        <v>0</v>
      </c>
      <c r="V279" s="66">
        <v>0</v>
      </c>
      <c r="W279" s="66">
        <v>0</v>
      </c>
      <c r="X279" s="66">
        <v>0</v>
      </c>
      <c r="Y279" s="66">
        <v>0</v>
      </c>
      <c r="Z279" s="34"/>
      <c r="AA279" s="66">
        <v>0</v>
      </c>
      <c r="AB279" s="60">
        <v>0</v>
      </c>
      <c r="AC279" s="34"/>
      <c r="AD279" s="66">
        <v>0</v>
      </c>
      <c r="AE279" s="60">
        <v>0</v>
      </c>
    </row>
    <row r="280" spans="1:39" ht="18" hidden="1" customHeight="1" outlineLevel="1" x14ac:dyDescent="0.2">
      <c r="A280" s="30" t="s">
        <v>200</v>
      </c>
      <c r="B280" s="30" t="s">
        <v>22</v>
      </c>
      <c r="C280" s="4">
        <v>0</v>
      </c>
      <c r="D280" s="4">
        <v>0</v>
      </c>
      <c r="F280" s="104" t="s">
        <v>183</v>
      </c>
      <c r="G280" s="36"/>
      <c r="H280" s="65">
        <v>0</v>
      </c>
      <c r="I280" s="65">
        <v>0</v>
      </c>
      <c r="J280" s="65">
        <v>0</v>
      </c>
      <c r="K280" s="90">
        <v>0</v>
      </c>
      <c r="L280" s="90">
        <v>0</v>
      </c>
      <c r="M280" s="65">
        <v>0</v>
      </c>
      <c r="N280" s="65">
        <v>0</v>
      </c>
      <c r="O280" s="65">
        <v>0</v>
      </c>
      <c r="P280" s="65">
        <v>0</v>
      </c>
      <c r="Q280" s="65">
        <v>0</v>
      </c>
      <c r="R280" s="65">
        <v>0</v>
      </c>
      <c r="S280" s="65">
        <v>0</v>
      </c>
      <c r="T280" s="65">
        <v>0</v>
      </c>
      <c r="U280" s="65">
        <v>0</v>
      </c>
      <c r="V280" s="65">
        <v>0</v>
      </c>
      <c r="W280" s="65">
        <v>0</v>
      </c>
      <c r="X280" s="65">
        <v>0</v>
      </c>
      <c r="Y280" s="65">
        <v>0</v>
      </c>
      <c r="Z280" s="36"/>
      <c r="AA280" s="65">
        <v>0</v>
      </c>
      <c r="AB280" s="60">
        <v>0</v>
      </c>
      <c r="AC280" s="36"/>
      <c r="AD280" s="65">
        <v>0</v>
      </c>
      <c r="AE280" s="60">
        <v>0</v>
      </c>
    </row>
    <row r="281" spans="1:39" ht="18" hidden="1" customHeight="1" outlineLevel="1" x14ac:dyDescent="0.2">
      <c r="A281" s="30" t="s">
        <v>199</v>
      </c>
      <c r="B281" s="30" t="s">
        <v>22</v>
      </c>
      <c r="C281" s="4">
        <v>0</v>
      </c>
      <c r="D281" s="4">
        <v>0</v>
      </c>
      <c r="F281" s="38" t="s">
        <v>184</v>
      </c>
      <c r="G281" s="34"/>
      <c r="H281" s="66">
        <v>0</v>
      </c>
      <c r="I281" s="66">
        <v>0</v>
      </c>
      <c r="J281" s="66">
        <v>0</v>
      </c>
      <c r="K281" s="86">
        <v>0</v>
      </c>
      <c r="L281" s="86">
        <v>0</v>
      </c>
      <c r="M281" s="66">
        <v>0</v>
      </c>
      <c r="N281" s="66">
        <v>0</v>
      </c>
      <c r="O281" s="66">
        <v>0</v>
      </c>
      <c r="P281" s="66">
        <v>0</v>
      </c>
      <c r="Q281" s="66">
        <v>0</v>
      </c>
      <c r="R281" s="66">
        <v>0</v>
      </c>
      <c r="S281" s="66">
        <v>0</v>
      </c>
      <c r="T281" s="66">
        <v>0</v>
      </c>
      <c r="U281" s="66">
        <v>0</v>
      </c>
      <c r="V281" s="66">
        <v>0</v>
      </c>
      <c r="W281" s="66">
        <v>0</v>
      </c>
      <c r="X281" s="66">
        <v>0</v>
      </c>
      <c r="Y281" s="66">
        <v>0</v>
      </c>
      <c r="Z281" s="34"/>
      <c r="AA281" s="66">
        <v>0</v>
      </c>
      <c r="AB281" s="60">
        <v>0</v>
      </c>
      <c r="AC281" s="34"/>
      <c r="AD281" s="66">
        <v>0</v>
      </c>
      <c r="AE281" s="60">
        <v>0</v>
      </c>
    </row>
    <row r="282" spans="1:39" s="253" customFormat="1" ht="18" hidden="1" customHeight="1" outlineLevel="1" x14ac:dyDescent="0.2">
      <c r="A282" s="276" t="s">
        <v>445</v>
      </c>
      <c r="B282" s="276" t="s">
        <v>22</v>
      </c>
      <c r="C282" s="252">
        <v>-6.63</v>
      </c>
      <c r="D282" s="252">
        <v>0</v>
      </c>
      <c r="F282" s="255" t="s">
        <v>452</v>
      </c>
      <c r="G282" s="239"/>
      <c r="H282" s="241">
        <v>0</v>
      </c>
      <c r="I282" s="241">
        <v>-0.82799999999999996</v>
      </c>
      <c r="J282" s="241">
        <v>-0.82799999999999996</v>
      </c>
      <c r="K282" s="258">
        <v>-1</v>
      </c>
      <c r="L282" s="258">
        <v>-8.5</v>
      </c>
      <c r="M282" s="241">
        <v>-0.25600000000000001</v>
      </c>
      <c r="N282" s="241">
        <v>-0.255</v>
      </c>
      <c r="O282" s="241">
        <v>-0.25800000000000001</v>
      </c>
      <c r="P282" s="241">
        <v>-0.25599999999999989</v>
      </c>
      <c r="Q282" s="241">
        <v>-4.9670000000000005</v>
      </c>
      <c r="R282" s="241">
        <v>-0.25799999999999912</v>
      </c>
      <c r="S282" s="241">
        <v>-0.25699999999999967</v>
      </c>
      <c r="T282" s="241">
        <v>-0.25800000000000001</v>
      </c>
      <c r="U282" s="241">
        <v>-0.25</v>
      </c>
      <c r="V282" s="241">
        <v>-0.24900000000000055</v>
      </c>
      <c r="W282" s="241">
        <v>-0.1819999999999995</v>
      </c>
      <c r="X282" s="241">
        <v>-0.18100000000000005</v>
      </c>
      <c r="Y282" s="241">
        <v>-7.6269999999999998</v>
      </c>
      <c r="Z282" s="239"/>
      <c r="AA282" s="241">
        <v>-1</v>
      </c>
      <c r="AB282" s="256">
        <v>-6.63</v>
      </c>
      <c r="AC282" s="239"/>
      <c r="AD282" s="241"/>
      <c r="AE282" s="256"/>
      <c r="AM282" s="251"/>
    </row>
    <row r="283" spans="1:39" ht="18" hidden="1" customHeight="1" outlineLevel="1" x14ac:dyDescent="0.2">
      <c r="A283" s="30" t="s">
        <v>185</v>
      </c>
      <c r="B283" s="30" t="s">
        <v>22</v>
      </c>
      <c r="C283" s="4">
        <v>1</v>
      </c>
      <c r="D283" s="4">
        <v>0</v>
      </c>
      <c r="F283" s="38" t="s">
        <v>186</v>
      </c>
      <c r="G283" s="34"/>
      <c r="H283" s="66">
        <v>0</v>
      </c>
      <c r="I283" s="66">
        <v>99.415999999999997</v>
      </c>
      <c r="J283" s="66">
        <v>99.415999999999997</v>
      </c>
      <c r="K283" s="86">
        <v>-1</v>
      </c>
      <c r="L283" s="86">
        <v>0</v>
      </c>
      <c r="M283" s="66">
        <v>0</v>
      </c>
      <c r="N283" s="66">
        <v>0</v>
      </c>
      <c r="O283" s="66">
        <v>0</v>
      </c>
      <c r="P283" s="66">
        <v>0</v>
      </c>
      <c r="Q283" s="66">
        <v>0</v>
      </c>
      <c r="R283" s="66">
        <v>0</v>
      </c>
      <c r="S283" s="66">
        <v>0</v>
      </c>
      <c r="T283" s="66">
        <v>0</v>
      </c>
      <c r="U283" s="66">
        <v>0</v>
      </c>
      <c r="V283" s="66">
        <v>0</v>
      </c>
      <c r="W283" s="66">
        <v>0</v>
      </c>
      <c r="X283" s="66">
        <v>0</v>
      </c>
      <c r="Y283" s="66">
        <v>0</v>
      </c>
      <c r="Z283" s="34"/>
      <c r="AA283" s="66">
        <v>-1</v>
      </c>
      <c r="AB283" s="60">
        <v>1</v>
      </c>
      <c r="AC283" s="34"/>
      <c r="AD283" s="66">
        <v>0</v>
      </c>
      <c r="AE283" s="60">
        <v>0</v>
      </c>
    </row>
    <row r="284" spans="1:39" ht="18" hidden="1" customHeight="1" outlineLevel="1" x14ac:dyDescent="0.2">
      <c r="A284" s="30" t="s">
        <v>125</v>
      </c>
      <c r="B284" s="30" t="s">
        <v>22</v>
      </c>
      <c r="C284" s="4">
        <v>0.99571428571428566</v>
      </c>
      <c r="D284" s="4">
        <v>0.99250000000000005</v>
      </c>
      <c r="F284" s="38" t="s">
        <v>126</v>
      </c>
      <c r="G284" s="34"/>
      <c r="H284" s="66">
        <v>-10.837</v>
      </c>
      <c r="I284" s="66">
        <v>-7.4980000000000002</v>
      </c>
      <c r="J284" s="66">
        <v>-7.4980000000000002</v>
      </c>
      <c r="K284" s="86">
        <v>-7</v>
      </c>
      <c r="L284" s="86">
        <v>-4</v>
      </c>
      <c r="M284" s="66">
        <v>-2.7E-2</v>
      </c>
      <c r="N284" s="66">
        <v>0</v>
      </c>
      <c r="O284" s="66">
        <v>0</v>
      </c>
      <c r="P284" s="66">
        <v>0</v>
      </c>
      <c r="Q284" s="66">
        <v>0</v>
      </c>
      <c r="R284" s="66">
        <v>0</v>
      </c>
      <c r="S284" s="66">
        <v>0</v>
      </c>
      <c r="T284" s="66">
        <v>0</v>
      </c>
      <c r="U284" s="66">
        <v>0</v>
      </c>
      <c r="V284" s="66">
        <v>0</v>
      </c>
      <c r="W284" s="66">
        <v>0</v>
      </c>
      <c r="X284" s="66">
        <v>0</v>
      </c>
      <c r="Y284" s="66">
        <v>-2.7E-2</v>
      </c>
      <c r="Z284" s="34"/>
      <c r="AA284" s="66">
        <v>-7</v>
      </c>
      <c r="AB284" s="60">
        <v>6.97</v>
      </c>
      <c r="AC284" s="34"/>
      <c r="AD284" s="66">
        <v>-4</v>
      </c>
      <c r="AE284" s="60">
        <v>3.97</v>
      </c>
    </row>
    <row r="285" spans="1:39" ht="18" customHeight="1" collapsed="1" x14ac:dyDescent="0.2">
      <c r="A285" s="35"/>
      <c r="B285" s="35"/>
      <c r="C285" s="4">
        <v>-0.54444444444444451</v>
      </c>
      <c r="D285" s="4">
        <v>0.20571428571428571</v>
      </c>
      <c r="F285" s="106" t="s">
        <v>69</v>
      </c>
      <c r="H285" s="61">
        <v>-16.901</v>
      </c>
      <c r="I285" s="61">
        <v>86.508999999999986</v>
      </c>
      <c r="J285" s="61">
        <v>86.508999999999986</v>
      </c>
      <c r="K285" s="86">
        <v>-9</v>
      </c>
      <c r="L285" s="86">
        <v>-17.5</v>
      </c>
      <c r="M285" s="61">
        <v>-2.3109999999999999</v>
      </c>
      <c r="N285" s="61">
        <v>-0.255</v>
      </c>
      <c r="O285" s="61">
        <v>-0.25800000000000001</v>
      </c>
      <c r="P285" s="61">
        <v>-0.25599999999999989</v>
      </c>
      <c r="Q285" s="61">
        <v>-4.9770000000000003</v>
      </c>
      <c r="R285" s="61">
        <v>-0.25799999999999912</v>
      </c>
      <c r="S285" s="61">
        <v>-0.25699999999999967</v>
      </c>
      <c r="T285" s="61">
        <v>-0.318</v>
      </c>
      <c r="U285" s="61">
        <v>-0.25</v>
      </c>
      <c r="V285" s="61">
        <v>-0.25900000000000056</v>
      </c>
      <c r="W285" s="61">
        <v>-0.3159999999999995</v>
      </c>
      <c r="X285" s="61">
        <v>-4.181</v>
      </c>
      <c r="Y285" s="61">
        <v>-13.895999999999999</v>
      </c>
      <c r="AA285" s="61">
        <v>-9</v>
      </c>
      <c r="AB285" s="60">
        <v>-4.9000000000000004</v>
      </c>
      <c r="AD285" s="61">
        <v>-17.5</v>
      </c>
      <c r="AE285" s="60">
        <v>3.6</v>
      </c>
    </row>
    <row r="286" spans="1:39" ht="18" customHeight="1" x14ac:dyDescent="0.2">
      <c r="A286" s="30" t="s">
        <v>257</v>
      </c>
      <c r="B286" s="30" t="s">
        <v>22</v>
      </c>
      <c r="C286" s="4">
        <v>-1.5013333333333334</v>
      </c>
      <c r="D286" s="4">
        <v>0.84354166666666675</v>
      </c>
      <c r="F286" s="104" t="s">
        <v>258</v>
      </c>
      <c r="G286" s="36"/>
      <c r="H286" s="65">
        <v>79.408000000000001</v>
      </c>
      <c r="I286" s="65">
        <v>221.69200000000001</v>
      </c>
      <c r="J286" s="65">
        <v>221.69200000000001</v>
      </c>
      <c r="K286" s="65">
        <v>15</v>
      </c>
      <c r="L286" s="65">
        <v>-48</v>
      </c>
      <c r="M286" s="65">
        <v>-31.39</v>
      </c>
      <c r="N286" s="65">
        <v>-37.087000000000003</v>
      </c>
      <c r="O286" s="65">
        <v>-9.1239999999999952</v>
      </c>
      <c r="P286" s="65">
        <v>-2.1620000000000061</v>
      </c>
      <c r="Q286" s="65">
        <v>-0.48399999999999466</v>
      </c>
      <c r="R286" s="65">
        <v>11.822000000000003</v>
      </c>
      <c r="S286" s="65">
        <v>0</v>
      </c>
      <c r="T286" s="65">
        <v>6.7319999999999993</v>
      </c>
      <c r="U286" s="65">
        <v>0.58699999999999619</v>
      </c>
      <c r="V286" s="65">
        <v>5.0030000000000001</v>
      </c>
      <c r="W286" s="65">
        <v>34.305999999999997</v>
      </c>
      <c r="X286" s="65">
        <v>14.281999999999993</v>
      </c>
      <c r="Y286" s="65">
        <v>-7.5150000000000103</v>
      </c>
      <c r="Z286" s="36"/>
      <c r="AA286" s="65">
        <v>15</v>
      </c>
      <c r="AB286" s="60">
        <v>-22.52</v>
      </c>
      <c r="AC286" s="36"/>
      <c r="AD286" s="65">
        <v>-48</v>
      </c>
      <c r="AE286" s="60">
        <v>40.49</v>
      </c>
    </row>
    <row r="287" spans="1:39" ht="18" customHeight="1" x14ac:dyDescent="0.2">
      <c r="A287" s="30" t="s">
        <v>256</v>
      </c>
      <c r="B287" s="30" t="s">
        <v>22</v>
      </c>
      <c r="C287" s="4">
        <v>-1.0003973773097556</v>
      </c>
      <c r="D287" s="4">
        <v>-7.000000000000001E-3</v>
      </c>
      <c r="F287" s="104" t="s">
        <v>259</v>
      </c>
      <c r="G287" s="36"/>
      <c r="H287" s="65">
        <v>0</v>
      </c>
      <c r="I287" s="65">
        <v>0</v>
      </c>
      <c r="J287" s="65">
        <v>0</v>
      </c>
      <c r="K287" s="65">
        <v>0</v>
      </c>
      <c r="L287" s="65">
        <v>-10</v>
      </c>
      <c r="M287" s="65">
        <v>0</v>
      </c>
      <c r="N287" s="65">
        <v>0</v>
      </c>
      <c r="O287" s="65">
        <v>0</v>
      </c>
      <c r="P287" s="65">
        <v>0</v>
      </c>
      <c r="Q287" s="65">
        <v>0</v>
      </c>
      <c r="R287" s="65">
        <v>0</v>
      </c>
      <c r="S287" s="65">
        <v>0</v>
      </c>
      <c r="T287" s="65">
        <v>-9.09</v>
      </c>
      <c r="U287" s="65">
        <v>-0.97600000000000087</v>
      </c>
      <c r="V287" s="65">
        <v>0</v>
      </c>
      <c r="W287" s="65">
        <v>0</v>
      </c>
      <c r="X287" s="65">
        <v>0</v>
      </c>
      <c r="Y287" s="65">
        <v>-10.066000000000001</v>
      </c>
      <c r="Z287" s="36"/>
      <c r="AA287" s="65">
        <v>0</v>
      </c>
      <c r="AB287" s="60">
        <v>-10.07</v>
      </c>
      <c r="AC287" s="36"/>
      <c r="AD287" s="65">
        <v>-10</v>
      </c>
      <c r="AE287" s="60">
        <v>-7.0000000000000007E-2</v>
      </c>
    </row>
    <row r="288" spans="1:39" ht="18" customHeight="1" x14ac:dyDescent="0.2">
      <c r="A288" s="35"/>
      <c r="B288" s="35"/>
      <c r="C288" s="4">
        <v>3.4688784649953919E-3</v>
      </c>
      <c r="D288" s="4">
        <v>8.3444179542287181E-2</v>
      </c>
      <c r="F288" s="95" t="s">
        <v>87</v>
      </c>
      <c r="H288" s="64">
        <v>-517.02599999999995</v>
      </c>
      <c r="I288" s="64">
        <v>-269.0569999999999</v>
      </c>
      <c r="J288" s="64">
        <v>-269.0569999999999</v>
      </c>
      <c r="K288" s="89">
        <v>-579.43799999999999</v>
      </c>
      <c r="L288" s="89">
        <v>-630.00199999999995</v>
      </c>
      <c r="M288" s="64">
        <v>-88.524000000000001</v>
      </c>
      <c r="N288" s="64">
        <v>-87.914000000000001</v>
      </c>
      <c r="O288" s="64">
        <v>-46.739999999999995</v>
      </c>
      <c r="P288" s="64">
        <v>-47.198000000000008</v>
      </c>
      <c r="Q288" s="64">
        <v>-57.683999999999997</v>
      </c>
      <c r="R288" s="64">
        <v>-15.296999999999993</v>
      </c>
      <c r="S288" s="64">
        <v>-40.361000000000011</v>
      </c>
      <c r="T288" s="64">
        <v>-52.134999999999977</v>
      </c>
      <c r="U288" s="64">
        <v>-44.227000000000004</v>
      </c>
      <c r="V288" s="64">
        <v>-35.921000000000006</v>
      </c>
      <c r="W288" s="64">
        <v>-14.387000000000004</v>
      </c>
      <c r="X288" s="64">
        <v>-47.040000000000006</v>
      </c>
      <c r="Y288" s="64">
        <v>-577.428</v>
      </c>
      <c r="AA288" s="64">
        <v>-579.43799999999999</v>
      </c>
      <c r="AB288" s="60">
        <v>2.0099999999999998</v>
      </c>
      <c r="AD288" s="64">
        <v>-630.00199999999995</v>
      </c>
      <c r="AE288" s="60">
        <v>52.57</v>
      </c>
    </row>
    <row r="289" spans="1:33" ht="12.95" customHeight="1" x14ac:dyDescent="0.2">
      <c r="A289" s="35"/>
      <c r="B289" s="35"/>
      <c r="C289" s="4"/>
      <c r="D289" s="4"/>
      <c r="F289" s="39" t="s">
        <v>223</v>
      </c>
      <c r="H289" s="56">
        <v>2.174714964727224E-2</v>
      </c>
      <c r="I289" s="56">
        <v>1.1025451801261164E-2</v>
      </c>
      <c r="J289" s="56">
        <v>1.1025451801261164E-2</v>
      </c>
      <c r="K289" s="109">
        <v>2.4386138992634011E-2</v>
      </c>
      <c r="L289" s="109">
        <v>2.5827157177758246E-2</v>
      </c>
      <c r="M289" s="56">
        <v>4.6409288148708525E-2</v>
      </c>
      <c r="N289" s="56">
        <v>4.510147241322171E-2</v>
      </c>
      <c r="O289" s="56">
        <v>2.3922012397068555E-2</v>
      </c>
      <c r="P289" s="56">
        <v>2.1832126039614038E-2</v>
      </c>
      <c r="Q289" s="56">
        <v>2.6606458814277371E-2</v>
      </c>
      <c r="R289" s="56">
        <v>7.1912954157078357E-3</v>
      </c>
      <c r="S289" s="56">
        <v>2.0419913273171286E-2</v>
      </c>
      <c r="T289" s="56">
        <v>2.5505948289484562E-2</v>
      </c>
      <c r="U289" s="56">
        <v>2.144855199116975E-2</v>
      </c>
      <c r="V289" s="56">
        <v>1.726291426596932E-2</v>
      </c>
      <c r="W289" s="56">
        <v>6.6466133317564166E-3</v>
      </c>
      <c r="X289" s="56">
        <v>2.1324890417535394E-2</v>
      </c>
      <c r="Y289" s="56">
        <v>2.3282014584462805E-2</v>
      </c>
      <c r="AA289" s="56">
        <v>2.4386138992634011E-2</v>
      </c>
      <c r="AB289" s="57"/>
      <c r="AD289" s="56">
        <v>2.5827157177758242E-2</v>
      </c>
      <c r="AE289" s="57"/>
    </row>
    <row r="290" spans="1:33" ht="6.95" customHeight="1" x14ac:dyDescent="0.2">
      <c r="C290" s="4"/>
      <c r="D290" s="4"/>
      <c r="F290" s="96"/>
      <c r="H290" s="16"/>
      <c r="I290" s="16"/>
      <c r="J290" s="16"/>
      <c r="K290" s="85"/>
      <c r="L290" s="85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AA290" s="16"/>
      <c r="AB290" s="20"/>
      <c r="AD290" s="16"/>
      <c r="AE290" s="20"/>
    </row>
    <row r="291" spans="1:33" ht="18" customHeight="1" x14ac:dyDescent="0.2">
      <c r="A291" s="30" t="s">
        <v>19</v>
      </c>
      <c r="B291" s="30" t="s">
        <v>25</v>
      </c>
      <c r="C291" s="4">
        <v>-1.2827272727272727</v>
      </c>
      <c r="D291" s="4">
        <v>-0.34565916398713825</v>
      </c>
      <c r="F291" s="104" t="s">
        <v>255</v>
      </c>
      <c r="G291" s="36"/>
      <c r="H291" s="65">
        <v>-20.742000000000001</v>
      </c>
      <c r="I291" s="65">
        <v>-33.207999999999998</v>
      </c>
      <c r="J291" s="65">
        <v>-33.207999999999998</v>
      </c>
      <c r="K291" s="65">
        <v>-11</v>
      </c>
      <c r="L291" s="65">
        <v>-18.66</v>
      </c>
      <c r="M291" s="65">
        <v>-0.13100000000000001</v>
      </c>
      <c r="N291" s="65">
        <v>-5.0960000000000001</v>
      </c>
      <c r="O291" s="65">
        <v>-2.4209999999999994</v>
      </c>
      <c r="P291" s="65">
        <v>-1.1739999999999995</v>
      </c>
      <c r="Q291" s="65">
        <v>-2.6350000000000016</v>
      </c>
      <c r="R291" s="65">
        <v>1.370000000000001</v>
      </c>
      <c r="S291" s="65">
        <v>0</v>
      </c>
      <c r="T291" s="65">
        <v>-4.2189999999999994</v>
      </c>
      <c r="U291" s="65">
        <v>-3.8010000000000002</v>
      </c>
      <c r="V291" s="65">
        <v>-2.1709999999999994</v>
      </c>
      <c r="W291" s="65">
        <v>-1.5670000000000002</v>
      </c>
      <c r="X291" s="65">
        <v>-3.2600000000000016</v>
      </c>
      <c r="Y291" s="65">
        <v>-25.105</v>
      </c>
      <c r="Z291" s="36"/>
      <c r="AA291" s="65">
        <v>-11</v>
      </c>
      <c r="AB291" s="60">
        <v>-14.11</v>
      </c>
      <c r="AC291" s="36"/>
      <c r="AD291" s="65">
        <v>-18.66</v>
      </c>
      <c r="AE291" s="60">
        <v>-6.45</v>
      </c>
    </row>
    <row r="292" spans="1:33" ht="12.95" customHeight="1" x14ac:dyDescent="0.2">
      <c r="A292" s="35"/>
      <c r="B292" s="35"/>
      <c r="C292" s="4"/>
      <c r="D292" s="4"/>
      <c r="F292" s="39" t="s">
        <v>223</v>
      </c>
      <c r="H292" s="56">
        <v>8.7245008565085868E-4</v>
      </c>
      <c r="I292" s="56">
        <v>1.360801627225015E-3</v>
      </c>
      <c r="J292" s="56">
        <v>1.360801627225015E-3</v>
      </c>
      <c r="K292" s="109">
        <v>4.6294431659465573E-4</v>
      </c>
      <c r="L292" s="109">
        <v>7.6497336982576068E-4</v>
      </c>
      <c r="M292" s="56">
        <v>6.8677609998201805E-5</v>
      </c>
      <c r="N292" s="56">
        <v>2.6143401894781018E-3</v>
      </c>
      <c r="O292" s="56">
        <v>1.2390926832114453E-3</v>
      </c>
      <c r="P292" s="56">
        <v>5.430508913620676E-4</v>
      </c>
      <c r="Q292" s="56">
        <v>1.2153806770615928E-3</v>
      </c>
      <c r="R292" s="56">
        <v>-6.4405273710660567E-4</v>
      </c>
      <c r="S292" s="56">
        <v>0</v>
      </c>
      <c r="T292" s="56">
        <v>2.0640566957578479E-3</v>
      </c>
      <c r="U292" s="56">
        <v>1.8433523892291183E-3</v>
      </c>
      <c r="V292" s="56">
        <v>1.0433391851958291E-3</v>
      </c>
      <c r="W292" s="56">
        <v>7.2393432201725886E-4</v>
      </c>
      <c r="X292" s="56">
        <v>1.477872932847904E-3</v>
      </c>
      <c r="Y292" s="56">
        <v>1.0122387139919412E-3</v>
      </c>
      <c r="AA292" s="56">
        <v>4.6294431659465573E-4</v>
      </c>
      <c r="AB292" s="57"/>
      <c r="AD292" s="56">
        <v>7.6497336982576057E-4</v>
      </c>
      <c r="AE292" s="57"/>
    </row>
    <row r="293" spans="1:33" ht="6.95" customHeight="1" x14ac:dyDescent="0.2">
      <c r="C293" s="4"/>
      <c r="D293" s="4"/>
      <c r="F293" s="96"/>
      <c r="H293" s="16"/>
      <c r="I293" s="16"/>
      <c r="J293" s="16"/>
      <c r="K293" s="85"/>
      <c r="L293" s="85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AA293" s="16"/>
      <c r="AB293" s="20"/>
      <c r="AD293" s="16"/>
      <c r="AE293" s="20"/>
    </row>
    <row r="294" spans="1:33" s="40" customFormat="1" ht="18" customHeight="1" x14ac:dyDescent="0.2">
      <c r="A294" s="35"/>
      <c r="B294" s="35"/>
      <c r="C294" s="4">
        <v>2.660749681091543E-3</v>
      </c>
      <c r="D294" s="4">
        <v>3.468957326290904E-3</v>
      </c>
      <c r="E294" s="8"/>
      <c r="F294" s="100" t="s">
        <v>279</v>
      </c>
      <c r="G294" s="8"/>
      <c r="H294" s="62">
        <v>-2725.2420000000011</v>
      </c>
      <c r="I294" s="62">
        <v>-2486.3969999999995</v>
      </c>
      <c r="J294" s="62">
        <v>-2486.3969999999995</v>
      </c>
      <c r="K294" s="108">
        <v>-2811.2377700000002</v>
      </c>
      <c r="L294" s="108">
        <v>-2813.5255299999999</v>
      </c>
      <c r="M294" s="62">
        <v>-274.47999999999996</v>
      </c>
      <c r="N294" s="62">
        <v>-267.53899999999999</v>
      </c>
      <c r="O294" s="62">
        <v>-224.75700000000006</v>
      </c>
      <c r="P294" s="62">
        <v>-217.50799999999998</v>
      </c>
      <c r="Q294" s="62">
        <v>-223.37100000000007</v>
      </c>
      <c r="R294" s="62">
        <v>-201.34</v>
      </c>
      <c r="S294" s="62">
        <v>-194.32900000000001</v>
      </c>
      <c r="T294" s="62">
        <v>-193.55700000000002</v>
      </c>
      <c r="U294" s="62">
        <v>-246.53999999999996</v>
      </c>
      <c r="V294" s="62">
        <v>-214.87400000000002</v>
      </c>
      <c r="W294" s="62">
        <v>-289.74999999999989</v>
      </c>
      <c r="X294" s="62">
        <v>-255.71600000000007</v>
      </c>
      <c r="Y294" s="62">
        <v>-2803.761</v>
      </c>
      <c r="Z294" s="8"/>
      <c r="AA294" s="62">
        <v>-2811.2377700000002</v>
      </c>
      <c r="AB294" s="60">
        <v>7.48</v>
      </c>
      <c r="AC294" s="8"/>
      <c r="AD294" s="62">
        <v>-2813.5255300000003</v>
      </c>
      <c r="AE294" s="60">
        <v>9.76</v>
      </c>
      <c r="AG294" s="41"/>
    </row>
    <row r="295" spans="1:33" ht="12.95" customHeight="1" x14ac:dyDescent="0.2">
      <c r="A295" s="35"/>
      <c r="B295" s="35"/>
      <c r="C295" s="4"/>
      <c r="D295" s="4"/>
      <c r="F295" s="39" t="s">
        <v>223</v>
      </c>
      <c r="H295" s="56">
        <v>0.11462913973191198</v>
      </c>
      <c r="I295" s="56">
        <v>0.1018878909758912</v>
      </c>
      <c r="J295" s="56">
        <v>0.1018878909758912</v>
      </c>
      <c r="K295" s="109">
        <v>0.11831332256524854</v>
      </c>
      <c r="L295" s="109">
        <v>0.11534148476821593</v>
      </c>
      <c r="M295" s="56">
        <v>0.14389794192600328</v>
      </c>
      <c r="N295" s="56">
        <v>0.13725234692950977</v>
      </c>
      <c r="O295" s="56">
        <v>0.11503294266854812</v>
      </c>
      <c r="P295" s="56">
        <v>0.10061151045858657</v>
      </c>
      <c r="Q295" s="56">
        <v>0.10302876554684059</v>
      </c>
      <c r="R295" s="56">
        <v>9.4652246780324009E-2</v>
      </c>
      <c r="S295" s="56">
        <v>9.8317220248807069E-2</v>
      </c>
      <c r="T295" s="56">
        <v>9.4693676667646803E-2</v>
      </c>
      <c r="U295" s="56">
        <v>0.11956329861629748</v>
      </c>
      <c r="V295" s="56">
        <v>0.10326414743425549</v>
      </c>
      <c r="W295" s="56">
        <v>0.1338608613940655</v>
      </c>
      <c r="X295" s="56">
        <v>0.11592507818899833</v>
      </c>
      <c r="Y295" s="56">
        <v>0.11304821465766816</v>
      </c>
      <c r="AA295" s="56">
        <v>0.11831332256524854</v>
      </c>
      <c r="AB295" s="57"/>
      <c r="AD295" s="56">
        <v>0.11534148476821593</v>
      </c>
      <c r="AE295" s="57"/>
    </row>
    <row r="296" spans="1:33" ht="6.95" customHeight="1" x14ac:dyDescent="0.2">
      <c r="C296" s="4"/>
      <c r="D296" s="4"/>
      <c r="F296" s="96"/>
      <c r="H296" s="16"/>
      <c r="I296" s="16"/>
      <c r="J296" s="16"/>
      <c r="K296" s="85"/>
      <c r="L296" s="85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AA296" s="16"/>
      <c r="AB296" s="20"/>
      <c r="AD296" s="16"/>
      <c r="AE296" s="20"/>
    </row>
    <row r="297" spans="1:33" s="40" customFormat="1" ht="18" customHeight="1" x14ac:dyDescent="0.2">
      <c r="A297" s="35"/>
      <c r="B297" s="35"/>
      <c r="C297" s="4">
        <v>0.12904862948822013</v>
      </c>
      <c r="D297" s="4">
        <v>4.6118135721579696E-2</v>
      </c>
      <c r="E297" s="8"/>
      <c r="F297" s="101" t="s">
        <v>23</v>
      </c>
      <c r="G297" s="8"/>
      <c r="H297" s="77">
        <v>4727.818999999995</v>
      </c>
      <c r="I297" s="77">
        <v>5438.6440000000002</v>
      </c>
      <c r="J297" s="77">
        <v>5438.6440000000002</v>
      </c>
      <c r="K297" s="114">
        <v>4995.1712199999965</v>
      </c>
      <c r="L297" s="114">
        <v>5391.1546099999987</v>
      </c>
      <c r="M297" s="77">
        <v>242.52600000000035</v>
      </c>
      <c r="N297" s="77">
        <v>220.28300000000013</v>
      </c>
      <c r="O297" s="77">
        <v>235.74999999999977</v>
      </c>
      <c r="P297" s="77">
        <v>571.22900000000004</v>
      </c>
      <c r="Q297" s="77">
        <v>825.72900000000004</v>
      </c>
      <c r="R297" s="77">
        <v>483.84399999999903</v>
      </c>
      <c r="S297" s="77">
        <v>509.23500000000143</v>
      </c>
      <c r="T297" s="77">
        <v>658.14199999999892</v>
      </c>
      <c r="U297" s="77">
        <v>421.10200000000077</v>
      </c>
      <c r="V297" s="77">
        <v>465.29699999999002</v>
      </c>
      <c r="W297" s="77">
        <v>465.54500000000996</v>
      </c>
      <c r="X297" s="77">
        <v>541.10599999999749</v>
      </c>
      <c r="Y297" s="77">
        <v>5639.7879999999986</v>
      </c>
      <c r="Z297" s="8"/>
      <c r="AA297" s="77">
        <v>4995.1712199999965</v>
      </c>
      <c r="AB297" s="60">
        <v>644.62</v>
      </c>
      <c r="AC297" s="8"/>
      <c r="AD297" s="77">
        <v>5391.1546099999987</v>
      </c>
      <c r="AE297" s="60">
        <v>248.63</v>
      </c>
    </row>
    <row r="298" spans="1:33" ht="12.95" customHeight="1" x14ac:dyDescent="0.2">
      <c r="A298" s="35"/>
      <c r="B298" s="35"/>
      <c r="C298" s="4"/>
      <c r="D298" s="4"/>
      <c r="F298" s="39" t="s">
        <v>223</v>
      </c>
      <c r="H298" s="56">
        <v>0.19886154138905374</v>
      </c>
      <c r="I298" s="56">
        <v>0.22286544221565782</v>
      </c>
      <c r="J298" s="56">
        <v>0.22286544221565782</v>
      </c>
      <c r="K298" s="109">
        <v>0.21022601151965373</v>
      </c>
      <c r="L298" s="109">
        <v>0.22101231024991339</v>
      </c>
      <c r="M298" s="56">
        <v>0.12714584765209094</v>
      </c>
      <c r="N298" s="56">
        <v>0.11300916404215168</v>
      </c>
      <c r="O298" s="56">
        <v>0.12065927305538954</v>
      </c>
      <c r="P298" s="56">
        <v>0.26423033868983192</v>
      </c>
      <c r="Q298" s="56">
        <v>0.38086340458800433</v>
      </c>
      <c r="R298" s="56">
        <v>0.22746062228657493</v>
      </c>
      <c r="S298" s="56">
        <v>0.25763817882766549</v>
      </c>
      <c r="T298" s="56">
        <v>0.32198208150259766</v>
      </c>
      <c r="U298" s="56">
        <v>0.2042197784291401</v>
      </c>
      <c r="V298" s="56">
        <v>0.22361243337358516</v>
      </c>
      <c r="W298" s="56">
        <v>0.21507594380570003</v>
      </c>
      <c r="X298" s="56">
        <v>0.24530242674895519</v>
      </c>
      <c r="Y298" s="56">
        <v>0.22739740100805342</v>
      </c>
      <c r="AA298" s="56">
        <v>0.21022601151965373</v>
      </c>
      <c r="AB298" s="57"/>
      <c r="AD298" s="56">
        <v>0.22101231024991333</v>
      </c>
      <c r="AE298" s="57"/>
    </row>
    <row r="299" spans="1:33" s="11" customFormat="1" ht="6.75" customHeight="1" x14ac:dyDescent="0.2">
      <c r="A299" s="8"/>
      <c r="B299" s="8"/>
      <c r="C299" s="8"/>
      <c r="D299" s="8"/>
      <c r="AF299" s="8"/>
      <c r="AG299" s="8"/>
    </row>
    <row r="300" spans="1:33" s="11" customFormat="1" ht="18" customHeight="1" x14ac:dyDescent="0.2">
      <c r="A300" s="276" t="s">
        <v>92</v>
      </c>
      <c r="B300" s="276" t="s">
        <v>17</v>
      </c>
      <c r="C300" s="253"/>
      <c r="D300" s="253"/>
      <c r="F300" s="101" t="s">
        <v>455</v>
      </c>
      <c r="G300" s="253"/>
      <c r="H300" s="77">
        <v>-38.118000000000002</v>
      </c>
      <c r="I300" s="77">
        <v>-34.902999999999999</v>
      </c>
      <c r="J300" s="77">
        <v>-34.902999999999999</v>
      </c>
      <c r="K300" s="114">
        <v>-26.881</v>
      </c>
      <c r="L300" s="114">
        <v>-28.149000000000001</v>
      </c>
      <c r="M300" s="77">
        <v>-2.4319999999999999</v>
      </c>
      <c r="N300" s="77">
        <v>-2.4670000000000001</v>
      </c>
      <c r="O300" s="77">
        <v>-2.6120000000000001</v>
      </c>
      <c r="P300" s="77">
        <v>-2.0629999999999997</v>
      </c>
      <c r="Q300" s="77">
        <v>-1.7360000000000007</v>
      </c>
      <c r="R300" s="77">
        <v>-1.7690000000000001</v>
      </c>
      <c r="S300" s="77">
        <v>-1.7309999999999999</v>
      </c>
      <c r="T300" s="77">
        <v>-1.8839999999999986</v>
      </c>
      <c r="U300" s="77">
        <v>-1.8049999999999997</v>
      </c>
      <c r="V300" s="77">
        <v>-1.4510000000000005</v>
      </c>
      <c r="W300" s="77">
        <v>-1.3780000000000001</v>
      </c>
      <c r="X300" s="77">
        <v>-1.3810000000000002</v>
      </c>
      <c r="Y300" s="77">
        <v>-22.709</v>
      </c>
      <c r="Z300" s="253"/>
      <c r="AA300" s="77">
        <v>-26.881</v>
      </c>
      <c r="AB300" s="256">
        <v>4.17</v>
      </c>
      <c r="AD300" s="77">
        <v>-28.149000000000001</v>
      </c>
      <c r="AE300" s="256">
        <v>5.44</v>
      </c>
      <c r="AF300" s="253"/>
      <c r="AG300" s="253"/>
    </row>
    <row r="301" spans="1:33" s="11" customFormat="1" ht="6.75" customHeight="1" x14ac:dyDescent="0.2">
      <c r="A301" s="253"/>
      <c r="B301" s="253"/>
      <c r="C301" s="253"/>
      <c r="D301" s="253"/>
      <c r="AF301" s="253"/>
      <c r="AG301" s="253"/>
    </row>
    <row r="302" spans="1:33" s="11" customFormat="1" ht="18" customHeight="1" x14ac:dyDescent="0.2">
      <c r="A302" s="276" t="s">
        <v>457</v>
      </c>
      <c r="B302" s="276" t="s">
        <v>17</v>
      </c>
      <c r="C302" s="253"/>
      <c r="D302" s="253"/>
      <c r="F302" s="101" t="s">
        <v>456</v>
      </c>
      <c r="G302" s="253"/>
      <c r="H302" s="77">
        <v>4766.4989999999898</v>
      </c>
      <c r="I302" s="77">
        <v>5473.8339999999998</v>
      </c>
      <c r="J302" s="77">
        <v>5473.8339999999998</v>
      </c>
      <c r="K302" s="114">
        <v>5022.0522199999996</v>
      </c>
      <c r="L302" s="114">
        <v>5419.3036099999999</v>
      </c>
      <c r="M302" s="77">
        <v>244.958</v>
      </c>
      <c r="N302" s="77">
        <v>222.75000000000003</v>
      </c>
      <c r="O302" s="77">
        <v>238.361999999999</v>
      </c>
      <c r="P302" s="77">
        <v>573.29200000000105</v>
      </c>
      <c r="Q302" s="77">
        <v>827.46500000000015</v>
      </c>
      <c r="R302" s="77">
        <v>485.61299999999983</v>
      </c>
      <c r="S302" s="77">
        <v>510.96599999999989</v>
      </c>
      <c r="T302" s="77">
        <v>660.02599999999984</v>
      </c>
      <c r="U302" s="77">
        <v>422.90699999999015</v>
      </c>
      <c r="V302" s="77">
        <v>467.19000000001051</v>
      </c>
      <c r="W302" s="77">
        <v>466.92299999999977</v>
      </c>
      <c r="X302" s="77">
        <v>542.48700000000008</v>
      </c>
      <c r="Y302" s="77">
        <v>5662.9390000000003</v>
      </c>
      <c r="Z302" s="253"/>
      <c r="AA302" s="77">
        <v>5022.0522199999996</v>
      </c>
      <c r="AB302" s="256">
        <v>640.89</v>
      </c>
      <c r="AD302" s="77">
        <v>5419.3036099999999</v>
      </c>
      <c r="AE302" s="256">
        <v>243.64</v>
      </c>
      <c r="AF302" s="253"/>
      <c r="AG302" s="253"/>
    </row>
    <row r="303" spans="1:33" s="11" customFormat="1" x14ac:dyDescent="0.2">
      <c r="A303" s="253"/>
      <c r="B303" s="253"/>
      <c r="C303" s="253"/>
      <c r="D303" s="253"/>
      <c r="AF303" s="253"/>
      <c r="AG303" s="253"/>
    </row>
    <row r="304" spans="1:33" s="11" customFormat="1" x14ac:dyDescent="0.2">
      <c r="A304" s="8"/>
      <c r="B304" s="8"/>
      <c r="C304" s="8"/>
      <c r="D304" s="8"/>
      <c r="AF304" s="8"/>
      <c r="AG304" s="8"/>
    </row>
    <row r="305" spans="1:33" s="11" customFormat="1" x14ac:dyDescent="0.2">
      <c r="A305" s="8"/>
      <c r="B305" s="8"/>
      <c r="C305" s="8"/>
      <c r="D305" s="8"/>
      <c r="AF305" s="8"/>
      <c r="AG305" s="8"/>
    </row>
    <row r="306" spans="1:33" s="11" customFormat="1" x14ac:dyDescent="0.2">
      <c r="A306" s="8"/>
      <c r="B306" s="8"/>
      <c r="C306" s="8"/>
      <c r="D306" s="8"/>
      <c r="AF306" s="8"/>
      <c r="AG306" s="8"/>
    </row>
    <row r="307" spans="1:33" s="11" customFormat="1" x14ac:dyDescent="0.2">
      <c r="A307" s="8"/>
      <c r="B307" s="8"/>
      <c r="C307" s="8"/>
      <c r="D307" s="8"/>
      <c r="AF307" s="8"/>
      <c r="AG307" s="8"/>
    </row>
    <row r="308" spans="1:33" s="11" customFormat="1" x14ac:dyDescent="0.2">
      <c r="A308" s="8"/>
      <c r="B308" s="8"/>
      <c r="C308" s="8"/>
      <c r="D308" s="8"/>
      <c r="AF308" s="8"/>
      <c r="AG308" s="8"/>
    </row>
    <row r="309" spans="1:33" s="11" customFormat="1" x14ac:dyDescent="0.2">
      <c r="A309" s="8"/>
      <c r="B309" s="8"/>
      <c r="C309" s="8"/>
      <c r="D309" s="8"/>
      <c r="AF309" s="8"/>
      <c r="AG309" s="8"/>
    </row>
    <row r="310" spans="1:33" s="11" customFormat="1" x14ac:dyDescent="0.2">
      <c r="A310" s="8"/>
      <c r="B310" s="8"/>
      <c r="C310" s="8"/>
      <c r="D310" s="8"/>
      <c r="AF310" s="8"/>
      <c r="AG310" s="8"/>
    </row>
    <row r="311" spans="1:33" s="11" customFormat="1" x14ac:dyDescent="0.2">
      <c r="A311" s="8"/>
      <c r="B311" s="8"/>
      <c r="C311" s="8"/>
      <c r="D311" s="8"/>
      <c r="AF311" s="8"/>
      <c r="AG311" s="8"/>
    </row>
    <row r="312" spans="1:33" s="11" customFormat="1" x14ac:dyDescent="0.2">
      <c r="A312" s="8"/>
      <c r="B312" s="8"/>
      <c r="C312" s="8"/>
      <c r="D312" s="8"/>
      <c r="AF312" s="8"/>
      <c r="AG312" s="8"/>
    </row>
    <row r="313" spans="1:33" s="11" customFormat="1" x14ac:dyDescent="0.2">
      <c r="A313" s="8"/>
      <c r="B313" s="8"/>
      <c r="C313" s="8"/>
      <c r="D313" s="8"/>
      <c r="AF313" s="8"/>
      <c r="AG313" s="8"/>
    </row>
    <row r="314" spans="1:33" s="11" customFormat="1" x14ac:dyDescent="0.2">
      <c r="A314" s="8"/>
      <c r="B314" s="8"/>
      <c r="C314" s="8"/>
      <c r="D314" s="8"/>
      <c r="AF314" s="8"/>
      <c r="AG314" s="8"/>
    </row>
    <row r="315" spans="1:33" s="11" customFormat="1" x14ac:dyDescent="0.2">
      <c r="A315" s="8"/>
      <c r="B315" s="8"/>
      <c r="C315" s="8"/>
      <c r="D315" s="8"/>
      <c r="AF315" s="8"/>
      <c r="AG315" s="8"/>
    </row>
    <row r="316" spans="1:33" s="11" customFormat="1" x14ac:dyDescent="0.2">
      <c r="A316" s="8"/>
      <c r="B316" s="8"/>
      <c r="C316" s="8"/>
      <c r="D316" s="8"/>
      <c r="AF316" s="8"/>
      <c r="AG316" s="8"/>
    </row>
    <row r="317" spans="1:33" s="11" customFormat="1" x14ac:dyDescent="0.2">
      <c r="A317" s="8"/>
      <c r="B317" s="8"/>
      <c r="C317" s="8"/>
      <c r="D317" s="8"/>
      <c r="AF317" s="8"/>
      <c r="AG317" s="8"/>
    </row>
    <row r="318" spans="1:33" s="11" customFormat="1" x14ac:dyDescent="0.2">
      <c r="A318" s="8"/>
      <c r="B318" s="8"/>
      <c r="C318" s="8"/>
      <c r="D318" s="8"/>
      <c r="AF318" s="8"/>
      <c r="AG318" s="8"/>
    </row>
    <row r="319" spans="1:33" s="11" customFormat="1" x14ac:dyDescent="0.2">
      <c r="A319" s="8"/>
      <c r="B319" s="8"/>
      <c r="C319" s="8"/>
      <c r="D319" s="8"/>
      <c r="AF319" s="8"/>
      <c r="AG319" s="8"/>
    </row>
    <row r="320" spans="1:33" s="11" customFormat="1" x14ac:dyDescent="0.2">
      <c r="A320" s="8"/>
      <c r="B320" s="8"/>
      <c r="C320" s="8"/>
      <c r="D320" s="8"/>
      <c r="AF320" s="8"/>
      <c r="AG320" s="8"/>
    </row>
    <row r="321" spans="1:33" s="11" customFormat="1" x14ac:dyDescent="0.2">
      <c r="A321" s="8"/>
      <c r="B321" s="8"/>
      <c r="C321" s="8"/>
      <c r="D321" s="8"/>
      <c r="AF321" s="8"/>
      <c r="AG321" s="8"/>
    </row>
    <row r="322" spans="1:33" s="11" customFormat="1" x14ac:dyDescent="0.2">
      <c r="A322" s="8"/>
      <c r="B322" s="8"/>
      <c r="C322" s="8"/>
      <c r="D322" s="8"/>
      <c r="AF322" s="8"/>
      <c r="AG322" s="8"/>
    </row>
    <row r="323" spans="1:33" s="11" customFormat="1" x14ac:dyDescent="0.2">
      <c r="A323" s="8"/>
      <c r="B323" s="8"/>
      <c r="C323" s="8"/>
      <c r="D323" s="8"/>
      <c r="AF323" s="8"/>
      <c r="AG323" s="8"/>
    </row>
    <row r="324" spans="1:33" s="11" customFormat="1" x14ac:dyDescent="0.2">
      <c r="A324" s="8"/>
      <c r="B324" s="8"/>
      <c r="C324" s="8"/>
      <c r="D324" s="8"/>
      <c r="AF324" s="8"/>
      <c r="AG324" s="8"/>
    </row>
    <row r="325" spans="1:33" s="11" customFormat="1" x14ac:dyDescent="0.2">
      <c r="A325" s="8"/>
      <c r="B325" s="8"/>
      <c r="C325" s="8"/>
      <c r="D325" s="8"/>
      <c r="AF325" s="8"/>
      <c r="AG325" s="8"/>
    </row>
    <row r="326" spans="1:33" s="11" customFormat="1" x14ac:dyDescent="0.2">
      <c r="A326" s="8"/>
      <c r="B326" s="8"/>
      <c r="C326" s="8"/>
      <c r="D326" s="8"/>
      <c r="AF326" s="8"/>
      <c r="AG326" s="8"/>
    </row>
    <row r="327" spans="1:33" s="11" customFormat="1" x14ac:dyDescent="0.2">
      <c r="A327" s="8"/>
      <c r="B327" s="8"/>
      <c r="C327" s="8"/>
      <c r="D327" s="8"/>
      <c r="AF327" s="8"/>
      <c r="AG327" s="8"/>
    </row>
    <row r="328" spans="1:33" s="11" customFormat="1" x14ac:dyDescent="0.2">
      <c r="A328" s="8"/>
      <c r="B328" s="8"/>
      <c r="C328" s="8"/>
      <c r="D328" s="8"/>
      <c r="AF328" s="8"/>
      <c r="AG328" s="8"/>
    </row>
    <row r="329" spans="1:33" s="11" customFormat="1" x14ac:dyDescent="0.2">
      <c r="A329" s="8"/>
      <c r="B329" s="8"/>
      <c r="C329" s="8"/>
      <c r="D329" s="8"/>
      <c r="AF329" s="8"/>
      <c r="AG329" s="8"/>
    </row>
    <row r="330" spans="1:33" s="11" customFormat="1" x14ac:dyDescent="0.2">
      <c r="A330" s="8"/>
      <c r="B330" s="8"/>
      <c r="C330" s="8"/>
      <c r="D330" s="8"/>
      <c r="AF330" s="8"/>
      <c r="AG330" s="8"/>
    </row>
    <row r="331" spans="1:33" s="11" customFormat="1" x14ac:dyDescent="0.2">
      <c r="A331" s="8"/>
      <c r="B331" s="8"/>
      <c r="C331" s="8"/>
      <c r="D331" s="8"/>
      <c r="AF331" s="8"/>
      <c r="AG331" s="8"/>
    </row>
    <row r="332" spans="1:33" s="11" customFormat="1" x14ac:dyDescent="0.2">
      <c r="A332" s="8"/>
      <c r="B332" s="8"/>
      <c r="C332" s="8"/>
      <c r="D332" s="8"/>
      <c r="AF332" s="8"/>
      <c r="AG332" s="8"/>
    </row>
    <row r="333" spans="1:33" s="11" customFormat="1" x14ac:dyDescent="0.2">
      <c r="A333" s="8"/>
      <c r="B333" s="8"/>
      <c r="C333" s="8"/>
      <c r="D333" s="8"/>
      <c r="AF333" s="8"/>
      <c r="AG333" s="8"/>
    </row>
    <row r="334" spans="1:33" s="11" customFormat="1" x14ac:dyDescent="0.2">
      <c r="A334" s="8"/>
      <c r="B334" s="8"/>
      <c r="C334" s="8"/>
      <c r="D334" s="8"/>
      <c r="AF334" s="8"/>
      <c r="AG334" s="8"/>
    </row>
    <row r="335" spans="1:33" s="11" customFormat="1" x14ac:dyDescent="0.2">
      <c r="A335" s="8"/>
      <c r="B335" s="8"/>
      <c r="C335" s="8"/>
      <c r="D335" s="8"/>
      <c r="AF335" s="8"/>
      <c r="AG335" s="8"/>
    </row>
    <row r="336" spans="1:33" s="11" customFormat="1" x14ac:dyDescent="0.2">
      <c r="A336" s="8"/>
      <c r="B336" s="8"/>
      <c r="C336" s="8"/>
      <c r="D336" s="8"/>
      <c r="AF336" s="8"/>
      <c r="AG336" s="8"/>
    </row>
    <row r="337" spans="1:33" s="11" customFormat="1" x14ac:dyDescent="0.2">
      <c r="A337" s="8"/>
      <c r="B337" s="8"/>
      <c r="C337" s="8"/>
      <c r="D337" s="8"/>
      <c r="AF337" s="8"/>
      <c r="AG337" s="8"/>
    </row>
    <row r="338" spans="1:33" s="11" customFormat="1" x14ac:dyDescent="0.2">
      <c r="A338" s="8"/>
      <c r="B338" s="8"/>
      <c r="C338" s="8"/>
      <c r="D338" s="8"/>
      <c r="AF338" s="8"/>
      <c r="AG338" s="8"/>
    </row>
    <row r="339" spans="1:33" s="11" customFormat="1" x14ac:dyDescent="0.2">
      <c r="A339" s="8"/>
      <c r="B339" s="8"/>
      <c r="C339" s="8"/>
      <c r="D339" s="8"/>
      <c r="AF339" s="8"/>
      <c r="AG339" s="8"/>
    </row>
    <row r="340" spans="1:33" s="11" customFormat="1" x14ac:dyDescent="0.2">
      <c r="A340" s="8"/>
      <c r="B340" s="8"/>
      <c r="C340" s="8"/>
      <c r="D340" s="8"/>
      <c r="AF340" s="8"/>
      <c r="AG340" s="8"/>
    </row>
    <row r="341" spans="1:33" s="11" customFormat="1" x14ac:dyDescent="0.2">
      <c r="A341" s="8"/>
      <c r="B341" s="8"/>
      <c r="C341" s="8"/>
      <c r="D341" s="8"/>
      <c r="AF341" s="8"/>
      <c r="AG341" s="8"/>
    </row>
    <row r="342" spans="1:33" s="11" customFormat="1" x14ac:dyDescent="0.2">
      <c r="A342" s="8"/>
      <c r="B342" s="8"/>
      <c r="C342" s="8"/>
      <c r="D342" s="8"/>
      <c r="AF342" s="8"/>
      <c r="AG342" s="8"/>
    </row>
    <row r="343" spans="1:33" s="11" customFormat="1" x14ac:dyDescent="0.2">
      <c r="A343" s="8"/>
      <c r="B343" s="8"/>
      <c r="C343" s="8"/>
      <c r="D343" s="8"/>
      <c r="AF343" s="8"/>
      <c r="AG343" s="8"/>
    </row>
    <row r="344" spans="1:33" s="11" customFormat="1" x14ac:dyDescent="0.2">
      <c r="A344" s="8"/>
      <c r="B344" s="8"/>
      <c r="C344" s="8"/>
      <c r="D344" s="8"/>
      <c r="AF344" s="8"/>
      <c r="AG344" s="8"/>
    </row>
    <row r="345" spans="1:33" s="11" customFormat="1" x14ac:dyDescent="0.2">
      <c r="A345" s="8"/>
      <c r="B345" s="8"/>
      <c r="C345" s="8"/>
      <c r="D345" s="8"/>
      <c r="AF345" s="8"/>
      <c r="AG345" s="8"/>
    </row>
    <row r="346" spans="1:33" s="11" customFormat="1" x14ac:dyDescent="0.2">
      <c r="A346" s="8"/>
      <c r="B346" s="8"/>
      <c r="C346" s="8"/>
      <c r="D346" s="8"/>
      <c r="AF346" s="8"/>
      <c r="AG346" s="8"/>
    </row>
    <row r="347" spans="1:33" s="11" customFormat="1" x14ac:dyDescent="0.2">
      <c r="A347" s="8"/>
      <c r="B347" s="8"/>
      <c r="C347" s="8"/>
      <c r="D347" s="8"/>
      <c r="AF347" s="8"/>
      <c r="AG347" s="8"/>
    </row>
    <row r="350" spans="1:33" ht="18" customHeight="1" x14ac:dyDescent="0.2">
      <c r="A350" s="30" t="s">
        <v>287</v>
      </c>
      <c r="B350" s="30" t="s">
        <v>17</v>
      </c>
      <c r="C350" s="4">
        <v>0</v>
      </c>
      <c r="D350" s="4">
        <v>0</v>
      </c>
      <c r="F350" s="106" t="s">
        <v>288</v>
      </c>
      <c r="H350" s="61">
        <v>0</v>
      </c>
      <c r="I350" s="61">
        <v>0</v>
      </c>
      <c r="J350" s="61">
        <v>0</v>
      </c>
      <c r="K350" s="86">
        <v>0</v>
      </c>
      <c r="L350" s="86">
        <v>0</v>
      </c>
      <c r="M350" s="61">
        <v>0</v>
      </c>
      <c r="N350" s="61">
        <v>0</v>
      </c>
      <c r="O350" s="61">
        <v>0</v>
      </c>
      <c r="P350" s="61">
        <v>0</v>
      </c>
      <c r="Q350" s="61">
        <v>0</v>
      </c>
      <c r="R350" s="61">
        <v>0</v>
      </c>
      <c r="S350" s="61">
        <v>0</v>
      </c>
      <c r="T350" s="61">
        <v>0</v>
      </c>
      <c r="U350" s="61">
        <v>0</v>
      </c>
      <c r="V350" s="61">
        <v>0</v>
      </c>
      <c r="W350" s="61">
        <v>0</v>
      </c>
      <c r="X350" s="61">
        <v>0</v>
      </c>
      <c r="Y350" s="61">
        <v>0</v>
      </c>
      <c r="AA350" s="61">
        <v>0</v>
      </c>
      <c r="AB350" s="20"/>
      <c r="AD350" s="61">
        <v>0</v>
      </c>
      <c r="AE350" s="20"/>
    </row>
    <row r="351" spans="1:33" ht="18" hidden="1" customHeight="1" outlineLevel="1" x14ac:dyDescent="0.2">
      <c r="A351" s="30" t="s">
        <v>291</v>
      </c>
      <c r="B351" s="30" t="s">
        <v>17</v>
      </c>
      <c r="C351" s="4">
        <v>0</v>
      </c>
      <c r="D351" s="4">
        <v>0</v>
      </c>
      <c r="F351" s="106" t="s">
        <v>290</v>
      </c>
      <c r="H351" s="61">
        <v>3807.5070000000001</v>
      </c>
      <c r="I351" s="61">
        <v>3292.259</v>
      </c>
      <c r="J351" s="61">
        <v>3292.259</v>
      </c>
      <c r="K351" s="86">
        <v>3411.473</v>
      </c>
      <c r="L351" s="86">
        <v>3234.57</v>
      </c>
      <c r="M351" s="61">
        <v>276.33800000000002</v>
      </c>
      <c r="N351" s="61">
        <v>555.03700000000003</v>
      </c>
      <c r="O351" s="61">
        <v>880.28200000000004</v>
      </c>
      <c r="P351" s="61">
        <v>1132.335</v>
      </c>
      <c r="Q351" s="61">
        <v>1381.069</v>
      </c>
      <c r="R351" s="61">
        <v>1683.7139999999999</v>
      </c>
      <c r="S351" s="61">
        <v>1887.9190000000001</v>
      </c>
      <c r="T351" s="61">
        <v>2091.6410000000001</v>
      </c>
      <c r="U351" s="61">
        <v>2358.634</v>
      </c>
      <c r="V351" s="61">
        <v>2671.8090000000002</v>
      </c>
      <c r="W351" s="61">
        <v>2970.09</v>
      </c>
      <c r="X351" s="61">
        <v>3205.8690000000001</v>
      </c>
      <c r="Y351" s="61">
        <v>3205.8690000000001</v>
      </c>
      <c r="AA351" s="61">
        <v>3411.473</v>
      </c>
      <c r="AB351" s="20"/>
      <c r="AD351" s="61">
        <v>3234.57</v>
      </c>
      <c r="AE351" s="20"/>
    </row>
    <row r="352" spans="1:33" ht="18" customHeight="1" collapsed="1" x14ac:dyDescent="0.2">
      <c r="A352" s="30" t="s">
        <v>287</v>
      </c>
      <c r="B352" s="30" t="s">
        <v>17</v>
      </c>
      <c r="C352" s="4">
        <v>0</v>
      </c>
      <c r="D352" s="4">
        <v>0</v>
      </c>
      <c r="F352" s="107" t="s">
        <v>289</v>
      </c>
      <c r="H352" s="78">
        <v>0</v>
      </c>
      <c r="I352" s="78">
        <v>0</v>
      </c>
      <c r="J352" s="78">
        <v>0</v>
      </c>
      <c r="K352" s="87">
        <v>0</v>
      </c>
      <c r="L352" s="87">
        <v>0</v>
      </c>
      <c r="M352" s="78">
        <v>0</v>
      </c>
      <c r="N352" s="78">
        <v>0</v>
      </c>
      <c r="O352" s="78">
        <v>0</v>
      </c>
      <c r="P352" s="78">
        <v>0</v>
      </c>
      <c r="Q352" s="78">
        <v>0</v>
      </c>
      <c r="R352" s="78">
        <v>0</v>
      </c>
      <c r="S352" s="78">
        <v>0</v>
      </c>
      <c r="T352" s="78">
        <v>0</v>
      </c>
      <c r="U352" s="78">
        <v>0</v>
      </c>
      <c r="V352" s="78">
        <v>0</v>
      </c>
      <c r="W352" s="78">
        <v>0</v>
      </c>
      <c r="X352" s="78">
        <v>0</v>
      </c>
      <c r="Y352" s="78">
        <v>0</v>
      </c>
      <c r="AA352" s="78">
        <v>0</v>
      </c>
      <c r="AB352" s="20"/>
      <c r="AD352" s="78">
        <v>0</v>
      </c>
      <c r="AE352" s="20"/>
    </row>
    <row r="353" spans="1:31" ht="15" x14ac:dyDescent="0.2">
      <c r="A353" s="4"/>
      <c r="B353" s="4"/>
      <c r="C353" s="4"/>
      <c r="D353" s="4"/>
      <c r="F353" s="96"/>
      <c r="H353" s="16"/>
      <c r="I353" s="16"/>
      <c r="J353" s="16"/>
      <c r="K353" s="85"/>
      <c r="L353" s="85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AA353" s="16"/>
      <c r="AB353" s="20"/>
      <c r="AD353" s="16"/>
      <c r="AE353" s="20"/>
    </row>
    <row r="354" spans="1:31" ht="18" customHeight="1" x14ac:dyDescent="0.2">
      <c r="A354" s="30" t="s">
        <v>293</v>
      </c>
      <c r="B354" s="30" t="s">
        <v>17</v>
      </c>
      <c r="C354" s="4">
        <v>0</v>
      </c>
      <c r="D354" s="4">
        <v>0</v>
      </c>
      <c r="F354" s="106" t="s">
        <v>357</v>
      </c>
      <c r="H354" s="61">
        <v>0</v>
      </c>
      <c r="I354" s="61">
        <v>0</v>
      </c>
      <c r="J354" s="61">
        <v>0</v>
      </c>
      <c r="K354" s="88"/>
      <c r="L354" s="88"/>
      <c r="M354" s="61">
        <v>0</v>
      </c>
      <c r="N354" s="61">
        <v>0</v>
      </c>
      <c r="O354" s="61">
        <v>0</v>
      </c>
      <c r="P354" s="61">
        <v>0</v>
      </c>
      <c r="Q354" s="61">
        <v>0</v>
      </c>
      <c r="R354" s="61">
        <v>0</v>
      </c>
      <c r="S354" s="61">
        <v>0</v>
      </c>
      <c r="T354" s="61">
        <v>0</v>
      </c>
      <c r="U354" s="61">
        <v>0</v>
      </c>
      <c r="V354" s="61">
        <v>0</v>
      </c>
      <c r="W354" s="61">
        <v>0</v>
      </c>
      <c r="X354" s="61">
        <v>0</v>
      </c>
      <c r="Y354" s="61">
        <v>0</v>
      </c>
      <c r="AA354" s="16"/>
      <c r="AB354" s="20"/>
      <c r="AD354" s="16"/>
      <c r="AE354" s="20"/>
    </row>
    <row r="355" spans="1:31" ht="18" customHeight="1" x14ac:dyDescent="0.2">
      <c r="A355" s="30" t="s">
        <v>294</v>
      </c>
      <c r="B355" s="30" t="s">
        <v>17</v>
      </c>
      <c r="C355" s="4">
        <v>0</v>
      </c>
      <c r="D355" s="4">
        <v>0</v>
      </c>
      <c r="F355" s="106" t="s">
        <v>358</v>
      </c>
      <c r="H355" s="61">
        <v>0</v>
      </c>
      <c r="I355" s="61">
        <v>0</v>
      </c>
      <c r="J355" s="61">
        <v>0</v>
      </c>
      <c r="K355" s="88"/>
      <c r="L355" s="88"/>
      <c r="M355" s="61">
        <v>0</v>
      </c>
      <c r="N355" s="61">
        <v>0</v>
      </c>
      <c r="O355" s="61">
        <v>0</v>
      </c>
      <c r="P355" s="61">
        <v>0</v>
      </c>
      <c r="Q355" s="61">
        <v>0</v>
      </c>
      <c r="R355" s="61">
        <v>0</v>
      </c>
      <c r="S355" s="61">
        <v>0</v>
      </c>
      <c r="T355" s="61">
        <v>0</v>
      </c>
      <c r="U355" s="61">
        <v>0</v>
      </c>
      <c r="V355" s="61">
        <v>0</v>
      </c>
      <c r="W355" s="61">
        <v>0</v>
      </c>
      <c r="X355" s="61">
        <v>0</v>
      </c>
      <c r="Y355" s="61">
        <v>0</v>
      </c>
      <c r="AA355" s="16"/>
      <c r="AB355" s="20"/>
      <c r="AD355" s="16"/>
      <c r="AE355" s="20"/>
    </row>
    <row r="356" spans="1:31" ht="18" customHeight="1" x14ac:dyDescent="0.2">
      <c r="A356" s="30" t="s">
        <v>295</v>
      </c>
      <c r="B356" s="30" t="s">
        <v>17</v>
      </c>
      <c r="C356" s="4">
        <v>0</v>
      </c>
      <c r="D356" s="4">
        <v>0</v>
      </c>
      <c r="F356" s="106" t="s">
        <v>359</v>
      </c>
      <c r="H356" s="61">
        <v>0</v>
      </c>
      <c r="I356" s="61">
        <v>0</v>
      </c>
      <c r="J356" s="61">
        <v>0</v>
      </c>
      <c r="K356" s="88"/>
      <c r="L356" s="88"/>
      <c r="M356" s="61">
        <v>0</v>
      </c>
      <c r="N356" s="61">
        <v>0</v>
      </c>
      <c r="O356" s="61">
        <v>0</v>
      </c>
      <c r="P356" s="61">
        <v>0</v>
      </c>
      <c r="Q356" s="61">
        <v>0</v>
      </c>
      <c r="R356" s="61">
        <v>0</v>
      </c>
      <c r="S356" s="61">
        <v>0</v>
      </c>
      <c r="T356" s="61">
        <v>0</v>
      </c>
      <c r="U356" s="61">
        <v>0</v>
      </c>
      <c r="V356" s="61">
        <v>0</v>
      </c>
      <c r="W356" s="61">
        <v>0</v>
      </c>
      <c r="X356" s="61">
        <v>0</v>
      </c>
      <c r="Y356" s="61">
        <v>0</v>
      </c>
      <c r="AA356" s="16"/>
      <c r="AB356" s="20"/>
      <c r="AD356" s="16"/>
      <c r="AE356" s="20"/>
    </row>
    <row r="357" spans="1:31" ht="18" customHeight="1" x14ac:dyDescent="0.2">
      <c r="A357" s="30" t="s">
        <v>296</v>
      </c>
      <c r="B357" s="30" t="s">
        <v>17</v>
      </c>
      <c r="C357" s="4">
        <v>0</v>
      </c>
      <c r="D357" s="4">
        <v>0</v>
      </c>
      <c r="F357" s="106" t="s">
        <v>360</v>
      </c>
      <c r="H357" s="61">
        <v>0</v>
      </c>
      <c r="I357" s="61">
        <v>0</v>
      </c>
      <c r="J357" s="61">
        <v>0</v>
      </c>
      <c r="K357" s="88"/>
      <c r="L357" s="88"/>
      <c r="M357" s="61">
        <v>0</v>
      </c>
      <c r="N357" s="61">
        <v>0</v>
      </c>
      <c r="O357" s="61">
        <v>0</v>
      </c>
      <c r="P357" s="61">
        <v>0</v>
      </c>
      <c r="Q357" s="61">
        <v>0</v>
      </c>
      <c r="R357" s="61">
        <v>0</v>
      </c>
      <c r="S357" s="61">
        <v>0</v>
      </c>
      <c r="T357" s="61">
        <v>0</v>
      </c>
      <c r="U357" s="61">
        <v>0</v>
      </c>
      <c r="V357" s="61">
        <v>0</v>
      </c>
      <c r="W357" s="61">
        <v>0</v>
      </c>
      <c r="X357" s="61">
        <v>0</v>
      </c>
      <c r="Y357" s="61">
        <v>0</v>
      </c>
      <c r="AA357" s="16"/>
      <c r="AB357" s="20"/>
      <c r="AD357" s="16"/>
      <c r="AE357" s="20"/>
    </row>
    <row r="358" spans="1:31" ht="18" customHeight="1" x14ac:dyDescent="0.2">
      <c r="A358" s="30" t="s">
        <v>297</v>
      </c>
      <c r="B358" s="30" t="s">
        <v>17</v>
      </c>
      <c r="C358" s="4">
        <v>0</v>
      </c>
      <c r="D358" s="4">
        <v>0</v>
      </c>
      <c r="F358" s="106" t="s">
        <v>361</v>
      </c>
      <c r="H358" s="61">
        <v>0</v>
      </c>
      <c r="I358" s="61">
        <v>0</v>
      </c>
      <c r="J358" s="61">
        <v>0</v>
      </c>
      <c r="K358" s="88"/>
      <c r="L358" s="88"/>
      <c r="M358" s="61">
        <v>0</v>
      </c>
      <c r="N358" s="61">
        <v>0</v>
      </c>
      <c r="O358" s="61">
        <v>0</v>
      </c>
      <c r="P358" s="61">
        <v>0</v>
      </c>
      <c r="Q358" s="61">
        <v>0</v>
      </c>
      <c r="R358" s="61">
        <v>0</v>
      </c>
      <c r="S358" s="61">
        <v>0</v>
      </c>
      <c r="T358" s="61">
        <v>0</v>
      </c>
      <c r="U358" s="61">
        <v>0</v>
      </c>
      <c r="V358" s="61">
        <v>0</v>
      </c>
      <c r="W358" s="61">
        <v>0</v>
      </c>
      <c r="X358" s="61">
        <v>0</v>
      </c>
      <c r="Y358" s="61">
        <v>0</v>
      </c>
      <c r="AA358" s="16"/>
      <c r="AB358" s="20"/>
      <c r="AD358" s="16"/>
      <c r="AE358" s="20"/>
    </row>
    <row r="359" spans="1:31" ht="18" customHeight="1" collapsed="1" x14ac:dyDescent="0.2">
      <c r="A359" s="30" t="s">
        <v>292</v>
      </c>
      <c r="B359" s="30" t="s">
        <v>17</v>
      </c>
      <c r="C359" s="4">
        <v>0</v>
      </c>
      <c r="D359" s="4">
        <v>0</v>
      </c>
      <c r="F359" s="107" t="s">
        <v>362</v>
      </c>
      <c r="H359" s="79">
        <v>0</v>
      </c>
      <c r="I359" s="79">
        <v>0</v>
      </c>
      <c r="J359" s="79">
        <v>0</v>
      </c>
      <c r="K359" s="89"/>
      <c r="L359" s="89"/>
      <c r="M359" s="79">
        <v>0</v>
      </c>
      <c r="N359" s="79">
        <v>0</v>
      </c>
      <c r="O359" s="79">
        <v>0</v>
      </c>
      <c r="P359" s="79">
        <v>0</v>
      </c>
      <c r="Q359" s="79">
        <v>0</v>
      </c>
      <c r="R359" s="79">
        <v>0</v>
      </c>
      <c r="S359" s="79">
        <v>0</v>
      </c>
      <c r="T359" s="79">
        <v>0</v>
      </c>
      <c r="U359" s="79">
        <v>0</v>
      </c>
      <c r="V359" s="79">
        <v>0</v>
      </c>
      <c r="W359" s="79">
        <v>0</v>
      </c>
      <c r="X359" s="79">
        <v>0</v>
      </c>
      <c r="Y359" s="79">
        <v>0</v>
      </c>
      <c r="AA359" s="16"/>
      <c r="AB359" s="20"/>
      <c r="AD359" s="16"/>
      <c r="AE359" s="20"/>
    </row>
    <row r="360" spans="1:31" ht="15" x14ac:dyDescent="0.2">
      <c r="A360" s="4"/>
      <c r="B360" s="4"/>
      <c r="C360" s="4"/>
      <c r="D360" s="4"/>
      <c r="F360" s="96"/>
      <c r="H360" s="16"/>
      <c r="I360" s="16"/>
      <c r="J360" s="16"/>
      <c r="K360" s="85"/>
      <c r="L360" s="85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AA360" s="16"/>
      <c r="AB360" s="20"/>
      <c r="AD360" s="16"/>
      <c r="AE360" s="20"/>
    </row>
    <row r="361" spans="1:31" ht="18" hidden="1" customHeight="1" outlineLevel="1" x14ac:dyDescent="0.2">
      <c r="A361" s="30" t="s">
        <v>112</v>
      </c>
      <c r="B361" s="30" t="s">
        <v>17</v>
      </c>
      <c r="C361" s="4">
        <v>1</v>
      </c>
      <c r="D361" s="4">
        <v>1</v>
      </c>
      <c r="F361" s="50" t="s">
        <v>113</v>
      </c>
      <c r="H361" s="60">
        <v>1</v>
      </c>
      <c r="I361" s="60">
        <v>1</v>
      </c>
      <c r="J361" s="60">
        <v>1</v>
      </c>
      <c r="K361" s="90">
        <v>0</v>
      </c>
      <c r="L361" s="90">
        <v>0</v>
      </c>
      <c r="M361" s="60">
        <v>0</v>
      </c>
      <c r="N361" s="60">
        <v>0</v>
      </c>
      <c r="O361" s="60">
        <v>0</v>
      </c>
      <c r="P361" s="60">
        <v>0</v>
      </c>
      <c r="Q361" s="60">
        <v>1</v>
      </c>
      <c r="R361" s="60">
        <v>0</v>
      </c>
      <c r="S361" s="60">
        <v>0</v>
      </c>
      <c r="T361" s="60">
        <v>0</v>
      </c>
      <c r="U361" s="60">
        <v>0</v>
      </c>
      <c r="V361" s="60">
        <v>0</v>
      </c>
      <c r="W361" s="60">
        <v>0</v>
      </c>
      <c r="X361" s="60">
        <v>0</v>
      </c>
      <c r="Y361" s="60">
        <v>1</v>
      </c>
      <c r="AA361" s="60">
        <v>0</v>
      </c>
      <c r="AB361" s="60">
        <v>1</v>
      </c>
      <c r="AD361" s="60">
        <v>0</v>
      </c>
      <c r="AE361" s="60">
        <v>1</v>
      </c>
    </row>
    <row r="362" spans="1:31" ht="12.95" hidden="1" customHeight="1" outlineLevel="1" x14ac:dyDescent="0.2">
      <c r="A362" s="35"/>
      <c r="B362" s="35"/>
      <c r="C362" s="4"/>
      <c r="D362" s="4"/>
      <c r="F362" s="51" t="s">
        <v>114</v>
      </c>
      <c r="H362" s="80">
        <v>1</v>
      </c>
      <c r="I362" s="80">
        <v>1</v>
      </c>
      <c r="J362" s="80">
        <v>1</v>
      </c>
      <c r="K362" s="91">
        <v>0</v>
      </c>
      <c r="L362" s="91">
        <v>0</v>
      </c>
      <c r="M362" s="80">
        <v>0</v>
      </c>
      <c r="N362" s="80">
        <v>0</v>
      </c>
      <c r="O362" s="80">
        <v>0</v>
      </c>
      <c r="P362" s="80">
        <v>0</v>
      </c>
      <c r="Q362" s="80">
        <v>1</v>
      </c>
      <c r="R362" s="80">
        <v>0</v>
      </c>
      <c r="S362" s="80">
        <v>0</v>
      </c>
      <c r="T362" s="80">
        <v>0</v>
      </c>
      <c r="U362" s="80">
        <v>0</v>
      </c>
      <c r="V362" s="80">
        <v>0</v>
      </c>
      <c r="W362" s="80">
        <v>0</v>
      </c>
      <c r="X362" s="80">
        <v>0</v>
      </c>
      <c r="Y362" s="80">
        <v>1</v>
      </c>
      <c r="AA362" s="80">
        <v>0</v>
      </c>
      <c r="AB362" s="69"/>
      <c r="AD362" s="80">
        <v>0</v>
      </c>
      <c r="AE362" s="69"/>
    </row>
    <row r="363" spans="1:31" ht="18" hidden="1" customHeight="1" outlineLevel="1" x14ac:dyDescent="0.2">
      <c r="A363" s="33" t="s">
        <v>100</v>
      </c>
      <c r="B363" s="33" t="s">
        <v>17</v>
      </c>
      <c r="C363" s="4"/>
      <c r="D363" s="4"/>
      <c r="F363" s="38" t="s">
        <v>103</v>
      </c>
      <c r="H363" s="66">
        <v>1</v>
      </c>
      <c r="I363" s="66">
        <v>1</v>
      </c>
      <c r="J363" s="66">
        <v>1</v>
      </c>
      <c r="K363" s="86">
        <v>0</v>
      </c>
      <c r="L363" s="86">
        <v>0</v>
      </c>
      <c r="M363" s="66">
        <v>1</v>
      </c>
      <c r="N363" s="66">
        <v>1</v>
      </c>
      <c r="O363" s="66">
        <v>1</v>
      </c>
      <c r="P363" s="66">
        <v>1</v>
      </c>
      <c r="Q363" s="66">
        <v>1</v>
      </c>
      <c r="R363" s="66">
        <v>1</v>
      </c>
      <c r="S363" s="66">
        <v>1</v>
      </c>
      <c r="T363" s="66">
        <v>1</v>
      </c>
      <c r="U363" s="66">
        <v>1</v>
      </c>
      <c r="V363" s="66">
        <v>1</v>
      </c>
      <c r="W363" s="66">
        <v>1</v>
      </c>
      <c r="X363" s="66">
        <v>1</v>
      </c>
      <c r="Y363" s="66">
        <v>1</v>
      </c>
      <c r="AA363" s="66">
        <v>0</v>
      </c>
      <c r="AB363" s="60">
        <v>1</v>
      </c>
      <c r="AD363" s="66">
        <v>0</v>
      </c>
      <c r="AE363" s="60">
        <v>1</v>
      </c>
    </row>
    <row r="364" spans="1:31" ht="18" hidden="1" customHeight="1" outlineLevel="1" x14ac:dyDescent="0.2">
      <c r="A364" s="33" t="s">
        <v>101</v>
      </c>
      <c r="B364" s="33" t="s">
        <v>102</v>
      </c>
      <c r="C364" s="4"/>
      <c r="D364" s="4"/>
      <c r="F364" s="38" t="s">
        <v>104</v>
      </c>
      <c r="H364" s="66">
        <v>0</v>
      </c>
      <c r="I364" s="66">
        <v>0</v>
      </c>
      <c r="J364" s="66">
        <v>0</v>
      </c>
      <c r="K364" s="86">
        <v>0</v>
      </c>
      <c r="L364" s="86">
        <v>0</v>
      </c>
      <c r="M364" s="66">
        <v>0</v>
      </c>
      <c r="N364" s="66">
        <v>0</v>
      </c>
      <c r="O364" s="66">
        <v>0</v>
      </c>
      <c r="P364" s="66">
        <v>0</v>
      </c>
      <c r="Q364" s="66">
        <v>0</v>
      </c>
      <c r="R364" s="66">
        <v>0</v>
      </c>
      <c r="S364" s="66">
        <v>0</v>
      </c>
      <c r="T364" s="66">
        <v>0</v>
      </c>
      <c r="U364" s="66">
        <v>0</v>
      </c>
      <c r="V364" s="66">
        <v>0</v>
      </c>
      <c r="W364" s="66">
        <v>0</v>
      </c>
      <c r="X364" s="66">
        <v>0</v>
      </c>
      <c r="Y364" s="66">
        <v>0</v>
      </c>
      <c r="AA364" s="66">
        <v>0</v>
      </c>
      <c r="AB364" s="60">
        <v>0</v>
      </c>
      <c r="AD364" s="66">
        <v>0</v>
      </c>
      <c r="AE364" s="60">
        <v>0</v>
      </c>
    </row>
    <row r="365" spans="1:31" ht="18" customHeight="1" collapsed="1" x14ac:dyDescent="0.2">
      <c r="A365" s="32"/>
      <c r="B365" s="32"/>
      <c r="C365" s="4">
        <v>1</v>
      </c>
      <c r="D365" s="4">
        <v>1</v>
      </c>
      <c r="F365" s="107" t="s">
        <v>105</v>
      </c>
      <c r="G365" s="7"/>
      <c r="H365" s="58">
        <v>1</v>
      </c>
      <c r="I365" s="58">
        <v>1</v>
      </c>
      <c r="J365" s="58">
        <v>1</v>
      </c>
      <c r="K365" s="92">
        <v>0</v>
      </c>
      <c r="L365" s="92">
        <v>0</v>
      </c>
      <c r="M365" s="58">
        <v>1</v>
      </c>
      <c r="N365" s="58">
        <v>1</v>
      </c>
      <c r="O365" s="58">
        <v>1</v>
      </c>
      <c r="P365" s="58">
        <v>1</v>
      </c>
      <c r="Q365" s="58">
        <v>1</v>
      </c>
      <c r="R365" s="58">
        <v>1</v>
      </c>
      <c r="S365" s="58">
        <v>1</v>
      </c>
      <c r="T365" s="58">
        <v>1</v>
      </c>
      <c r="U365" s="58">
        <v>1</v>
      </c>
      <c r="V365" s="58">
        <v>1</v>
      </c>
      <c r="W365" s="58">
        <v>1</v>
      </c>
      <c r="X365" s="58">
        <v>1</v>
      </c>
      <c r="Y365" s="58">
        <v>1</v>
      </c>
      <c r="AA365" s="58">
        <v>0</v>
      </c>
      <c r="AB365" s="60">
        <v>1</v>
      </c>
      <c r="AD365" s="58">
        <v>0</v>
      </c>
      <c r="AE365" s="60">
        <v>1</v>
      </c>
    </row>
    <row r="366" spans="1:31" ht="18" customHeight="1" x14ac:dyDescent="0.2">
      <c r="A366" s="32"/>
      <c r="B366" s="32"/>
      <c r="C366" s="4"/>
      <c r="D366" s="4"/>
      <c r="F366" s="191" t="s">
        <v>402</v>
      </c>
      <c r="G366" s="7"/>
      <c r="H366" s="194">
        <v>1</v>
      </c>
      <c r="I366" s="194">
        <v>1</v>
      </c>
      <c r="J366" s="194">
        <v>1</v>
      </c>
      <c r="K366" s="194">
        <v>0</v>
      </c>
      <c r="L366" s="194">
        <v>0</v>
      </c>
      <c r="M366" s="194">
        <v>1</v>
      </c>
      <c r="N366" s="194">
        <v>1</v>
      </c>
      <c r="O366" s="194">
        <v>1</v>
      </c>
      <c r="P366" s="194">
        <v>1</v>
      </c>
      <c r="Q366" s="194">
        <v>1</v>
      </c>
      <c r="R366" s="194">
        <v>1</v>
      </c>
      <c r="S366" s="194">
        <v>1</v>
      </c>
      <c r="T366" s="194">
        <v>1</v>
      </c>
      <c r="U366" s="194">
        <v>1</v>
      </c>
      <c r="V366" s="194">
        <v>1</v>
      </c>
      <c r="W366" s="194">
        <v>1</v>
      </c>
      <c r="X366" s="194">
        <v>1</v>
      </c>
      <c r="Y366" s="194">
        <v>1</v>
      </c>
      <c r="AA366" s="20"/>
      <c r="AB366" s="190"/>
      <c r="AD366" s="190"/>
      <c r="AE366" s="190"/>
    </row>
    <row r="367" spans="1:31" ht="18" hidden="1" customHeight="1" outlineLevel="1" x14ac:dyDescent="0.2">
      <c r="A367" s="192" t="s">
        <v>101</v>
      </c>
      <c r="B367" s="192" t="s">
        <v>403</v>
      </c>
      <c r="C367" s="4"/>
      <c r="D367" s="4"/>
      <c r="F367" s="193" t="s">
        <v>404</v>
      </c>
      <c r="G367" s="7"/>
      <c r="H367" s="66">
        <v>0</v>
      </c>
      <c r="I367" s="66">
        <v>0</v>
      </c>
      <c r="J367" s="66">
        <v>0</v>
      </c>
      <c r="K367" s="86">
        <v>0</v>
      </c>
      <c r="L367" s="86">
        <v>0</v>
      </c>
      <c r="M367" s="66">
        <v>0</v>
      </c>
      <c r="N367" s="66">
        <v>0</v>
      </c>
      <c r="O367" s="66">
        <v>0</v>
      </c>
      <c r="P367" s="66">
        <v>0</v>
      </c>
      <c r="Q367" s="66">
        <v>0</v>
      </c>
      <c r="R367" s="66">
        <v>0</v>
      </c>
      <c r="S367" s="66">
        <v>0</v>
      </c>
      <c r="T367" s="66">
        <v>0</v>
      </c>
      <c r="U367" s="66">
        <v>0</v>
      </c>
      <c r="V367" s="66">
        <v>0</v>
      </c>
      <c r="W367" s="66">
        <v>0</v>
      </c>
      <c r="X367" s="66">
        <v>0</v>
      </c>
      <c r="Y367" s="66">
        <v>0</v>
      </c>
      <c r="AA367" s="20"/>
      <c r="AB367" s="190"/>
      <c r="AD367" s="189"/>
      <c r="AE367" s="190"/>
    </row>
    <row r="368" spans="1:31" ht="18" hidden="1" customHeight="1" outlineLevel="1" x14ac:dyDescent="0.2">
      <c r="A368" s="192" t="s">
        <v>405</v>
      </c>
      <c r="B368" s="192" t="s">
        <v>17</v>
      </c>
      <c r="C368" s="4"/>
      <c r="D368" s="4"/>
      <c r="F368" s="193" t="s">
        <v>406</v>
      </c>
      <c r="G368" s="7"/>
      <c r="H368" s="66">
        <v>0</v>
      </c>
      <c r="I368" s="66">
        <v>0</v>
      </c>
      <c r="J368" s="66">
        <v>0</v>
      </c>
      <c r="K368" s="86">
        <v>0</v>
      </c>
      <c r="L368" s="86">
        <v>0</v>
      </c>
      <c r="M368" s="66">
        <v>0</v>
      </c>
      <c r="N368" s="66">
        <v>0</v>
      </c>
      <c r="O368" s="66">
        <v>0</v>
      </c>
      <c r="P368" s="66">
        <v>0</v>
      </c>
      <c r="Q368" s="66">
        <v>0</v>
      </c>
      <c r="R368" s="66">
        <v>0</v>
      </c>
      <c r="S368" s="66">
        <v>0</v>
      </c>
      <c r="T368" s="66">
        <v>0</v>
      </c>
      <c r="U368" s="66">
        <v>0</v>
      </c>
      <c r="V368" s="66">
        <v>0</v>
      </c>
      <c r="W368" s="66">
        <v>0</v>
      </c>
      <c r="X368" s="66">
        <v>0</v>
      </c>
      <c r="Y368" s="66">
        <v>0</v>
      </c>
      <c r="AA368" s="20"/>
      <c r="AB368" s="190"/>
      <c r="AD368" s="189"/>
      <c r="AE368" s="190"/>
    </row>
    <row r="369" spans="1:33" ht="18" customHeight="1" collapsed="1" x14ac:dyDescent="0.2">
      <c r="A369" s="32"/>
      <c r="B369" s="32"/>
      <c r="C369" s="4"/>
      <c r="D369" s="4"/>
      <c r="F369" s="191" t="s">
        <v>407</v>
      </c>
      <c r="G369" s="7"/>
      <c r="H369" s="194">
        <v>0</v>
      </c>
      <c r="I369" s="194">
        <v>0</v>
      </c>
      <c r="J369" s="194">
        <v>0</v>
      </c>
      <c r="K369" s="194">
        <v>0</v>
      </c>
      <c r="L369" s="194">
        <v>0</v>
      </c>
      <c r="M369" s="194">
        <v>0</v>
      </c>
      <c r="N369" s="194">
        <v>0</v>
      </c>
      <c r="O369" s="194">
        <v>0</v>
      </c>
      <c r="P369" s="194">
        <v>0</v>
      </c>
      <c r="Q369" s="194">
        <v>0</v>
      </c>
      <c r="R369" s="194">
        <v>0</v>
      </c>
      <c r="S369" s="194">
        <v>0</v>
      </c>
      <c r="T369" s="194">
        <v>0</v>
      </c>
      <c r="U369" s="194">
        <v>0</v>
      </c>
      <c r="V369" s="194">
        <v>0</v>
      </c>
      <c r="W369" s="194">
        <v>0</v>
      </c>
      <c r="X369" s="194">
        <v>0</v>
      </c>
      <c r="Y369" s="194">
        <v>0</v>
      </c>
      <c r="AA369" s="20"/>
      <c r="AB369" s="190"/>
      <c r="AD369" s="190"/>
      <c r="AE369" s="190"/>
    </row>
    <row r="370" spans="1:33" ht="18" customHeight="1" x14ac:dyDescent="0.2">
      <c r="A370" s="30" t="s">
        <v>106</v>
      </c>
      <c r="B370" s="30" t="s">
        <v>17</v>
      </c>
      <c r="C370" s="4"/>
      <c r="D370" s="4"/>
      <c r="F370" s="106" t="s">
        <v>108</v>
      </c>
      <c r="H370" s="61">
        <v>0</v>
      </c>
      <c r="I370" s="61">
        <v>0</v>
      </c>
      <c r="J370" s="61">
        <v>0</v>
      </c>
      <c r="K370" s="86"/>
      <c r="L370" s="86"/>
      <c r="M370" s="61">
        <v>0</v>
      </c>
      <c r="N370" s="61">
        <v>0</v>
      </c>
      <c r="O370" s="61">
        <v>0</v>
      </c>
      <c r="P370" s="61">
        <v>0</v>
      </c>
      <c r="Q370" s="61">
        <v>0</v>
      </c>
      <c r="R370" s="61">
        <v>0</v>
      </c>
      <c r="S370" s="61">
        <v>0</v>
      </c>
      <c r="T370" s="61">
        <v>0</v>
      </c>
      <c r="U370" s="61">
        <v>0</v>
      </c>
      <c r="V370" s="61">
        <v>0</v>
      </c>
      <c r="W370" s="61">
        <v>0</v>
      </c>
      <c r="X370" s="61">
        <v>0</v>
      </c>
      <c r="Y370" s="61">
        <v>0</v>
      </c>
      <c r="AA370" s="20"/>
      <c r="AB370" s="16"/>
      <c r="AD370" s="20"/>
      <c r="AE370" s="16"/>
    </row>
    <row r="371" spans="1:33" ht="18" customHeight="1" x14ac:dyDescent="0.2">
      <c r="A371" s="30" t="s">
        <v>107</v>
      </c>
      <c r="B371" s="30" t="s">
        <v>17</v>
      </c>
      <c r="C371" s="4"/>
      <c r="D371" s="4"/>
      <c r="F371" s="106" t="s">
        <v>109</v>
      </c>
      <c r="H371" s="61">
        <v>0</v>
      </c>
      <c r="I371" s="61">
        <v>0</v>
      </c>
      <c r="J371" s="61">
        <v>0</v>
      </c>
      <c r="K371" s="86"/>
      <c r="L371" s="86"/>
      <c r="M371" s="61">
        <v>0</v>
      </c>
      <c r="N371" s="61">
        <v>0</v>
      </c>
      <c r="O371" s="61">
        <v>0</v>
      </c>
      <c r="P371" s="61">
        <v>0</v>
      </c>
      <c r="Q371" s="61">
        <v>0</v>
      </c>
      <c r="R371" s="61">
        <v>0</v>
      </c>
      <c r="S371" s="61">
        <v>0</v>
      </c>
      <c r="T371" s="61">
        <v>0</v>
      </c>
      <c r="U371" s="61">
        <v>0</v>
      </c>
      <c r="V371" s="61">
        <v>0</v>
      </c>
      <c r="W371" s="61">
        <v>0</v>
      </c>
      <c r="X371" s="61">
        <v>0</v>
      </c>
      <c r="Y371" s="61">
        <v>0</v>
      </c>
      <c r="AA371" s="20"/>
      <c r="AB371" s="16"/>
      <c r="AD371" s="20"/>
      <c r="AE371" s="16"/>
    </row>
    <row r="372" spans="1:33" ht="18" customHeight="1" x14ac:dyDescent="0.2">
      <c r="A372" s="30"/>
      <c r="B372" s="30"/>
      <c r="C372" s="4"/>
      <c r="D372" s="4"/>
      <c r="F372" s="106" t="s">
        <v>110</v>
      </c>
      <c r="H372" s="61">
        <v>-3</v>
      </c>
      <c r="I372" s="61">
        <v>0</v>
      </c>
      <c r="J372" s="61">
        <v>0</v>
      </c>
      <c r="K372" s="86"/>
      <c r="L372" s="86"/>
      <c r="M372" s="61">
        <v>0</v>
      </c>
      <c r="N372" s="61">
        <v>0</v>
      </c>
      <c r="O372" s="61">
        <v>0</v>
      </c>
      <c r="P372" s="61">
        <v>0</v>
      </c>
      <c r="Q372" s="61">
        <v>0</v>
      </c>
      <c r="R372" s="61">
        <v>0</v>
      </c>
      <c r="S372" s="61">
        <v>0</v>
      </c>
      <c r="T372" s="61">
        <v>0</v>
      </c>
      <c r="U372" s="61">
        <v>0</v>
      </c>
      <c r="V372" s="61">
        <v>0</v>
      </c>
      <c r="W372" s="61">
        <v>0</v>
      </c>
      <c r="X372" s="61">
        <v>0</v>
      </c>
      <c r="Y372" s="61">
        <v>0</v>
      </c>
      <c r="AA372" s="20"/>
      <c r="AB372" s="16"/>
      <c r="AD372" s="20"/>
      <c r="AE372" s="16"/>
    </row>
    <row r="373" spans="1:33" ht="18" customHeight="1" collapsed="1" x14ac:dyDescent="0.2">
      <c r="A373" s="32"/>
      <c r="B373" s="32"/>
      <c r="C373" s="4">
        <v>1</v>
      </c>
      <c r="D373" s="4">
        <v>1</v>
      </c>
      <c r="F373" s="107" t="s">
        <v>111</v>
      </c>
      <c r="H373" s="58">
        <v>-3</v>
      </c>
      <c r="I373" s="58">
        <v>0</v>
      </c>
      <c r="J373" s="58">
        <v>0</v>
      </c>
      <c r="K373" s="92">
        <v>-1</v>
      </c>
      <c r="L373" s="92">
        <v>-1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AA373" s="58">
        <v>-1</v>
      </c>
      <c r="AB373" s="60">
        <v>1</v>
      </c>
      <c r="AD373" s="58">
        <v>-1</v>
      </c>
      <c r="AE373" s="60">
        <v>1</v>
      </c>
    </row>
    <row r="374" spans="1:33" ht="15" x14ac:dyDescent="0.2">
      <c r="A374" s="4"/>
      <c r="B374" s="4"/>
      <c r="C374" s="4"/>
      <c r="D374" s="4"/>
      <c r="F374" s="96"/>
      <c r="H374" s="16"/>
      <c r="I374" s="16"/>
      <c r="J374" s="16"/>
      <c r="K374" s="85"/>
      <c r="L374" s="85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AA374" s="16"/>
      <c r="AB374" s="8"/>
      <c r="AD374" s="16"/>
      <c r="AE374" s="8"/>
    </row>
    <row r="375" spans="1:33" ht="15" x14ac:dyDescent="0.2">
      <c r="F375" s="102" t="s">
        <v>370</v>
      </c>
      <c r="H375" s="81">
        <v>23.278752805836138</v>
      </c>
      <c r="I375" s="81">
        <v>17.569077124314532</v>
      </c>
      <c r="J375" s="81">
        <v>17.569077124314532</v>
      </c>
      <c r="K375" s="83">
        <v>13.991920135938829</v>
      </c>
      <c r="L375" s="83">
        <v>14.287650345907103</v>
      </c>
      <c r="M375" s="81">
        <v>13.183718153614741</v>
      </c>
      <c r="N375" s="81">
        <v>12.109258902791151</v>
      </c>
      <c r="O375" s="81">
        <v>14.62332450061148</v>
      </c>
      <c r="P375" s="81">
        <v>12.795456349206354</v>
      </c>
      <c r="Q375" s="81">
        <v>11.830628019323669</v>
      </c>
      <c r="R375" s="81">
        <v>12.428715715025019</v>
      </c>
      <c r="S375" s="81">
        <v>12.663414697257188</v>
      </c>
      <c r="T375" s="81">
        <v>12.228652751423157</v>
      </c>
      <c r="U375" s="81">
        <v>15.408943661971819</v>
      </c>
      <c r="V375" s="81">
        <v>13.455260925686892</v>
      </c>
      <c r="W375" s="81">
        <v>14.382257975290427</v>
      </c>
      <c r="X375" s="81">
        <v>15.692987430575876</v>
      </c>
      <c r="Y375" s="81">
        <v>13.328041928560481</v>
      </c>
      <c r="AA375" s="81">
        <v>13.991920135938829</v>
      </c>
      <c r="AB375" s="8"/>
      <c r="AD375" s="81">
        <v>14.287650345907103</v>
      </c>
      <c r="AE375" s="8"/>
    </row>
    <row r="376" spans="1:33" ht="15" x14ac:dyDescent="0.2">
      <c r="F376" s="102" t="s">
        <v>371</v>
      </c>
      <c r="H376" s="81">
        <v>61.071383879278613</v>
      </c>
      <c r="I376" s="81">
        <v>53.035954499893691</v>
      </c>
      <c r="J376" s="81">
        <v>53.035954499893691</v>
      </c>
      <c r="K376" s="83">
        <v>37.80645087235996</v>
      </c>
      <c r="L376" s="83">
        <v>42.100492304750979</v>
      </c>
      <c r="M376" s="81">
        <v>44.732124401913879</v>
      </c>
      <c r="N376" s="81">
        <v>47.83847908745247</v>
      </c>
      <c r="O376" s="81">
        <v>46.920882930019623</v>
      </c>
      <c r="P376" s="81">
        <v>44.940139372822294</v>
      </c>
      <c r="Q376" s="81">
        <v>43.267491166077747</v>
      </c>
      <c r="R376" s="81">
        <v>49.433457975986236</v>
      </c>
      <c r="S376" s="81">
        <v>50.557723829201102</v>
      </c>
      <c r="T376" s="81">
        <v>48.093283582089491</v>
      </c>
      <c r="U376" s="81">
        <v>56.345150214592344</v>
      </c>
      <c r="V376" s="81">
        <v>51.026489510489533</v>
      </c>
      <c r="W376" s="81">
        <v>42.079840841650856</v>
      </c>
      <c r="X376" s="81">
        <v>50.314629803186605</v>
      </c>
      <c r="Y376" s="81">
        <v>47.697820540955732</v>
      </c>
      <c r="AA376" s="81">
        <v>37.80645087235996</v>
      </c>
      <c r="AB376" s="8"/>
      <c r="AD376" s="81">
        <v>42.100492304750979</v>
      </c>
      <c r="AE376" s="8"/>
    </row>
    <row r="377" spans="1:33" s="11" customFormat="1" ht="15" x14ac:dyDescent="0.2">
      <c r="A377" s="8"/>
      <c r="B377" s="8"/>
      <c r="C377" s="8"/>
      <c r="D377" s="8"/>
      <c r="E377" s="8"/>
      <c r="F377" s="103"/>
      <c r="G377" s="8"/>
      <c r="H377" s="82"/>
      <c r="I377" s="16"/>
      <c r="J377" s="16"/>
      <c r="K377" s="84"/>
      <c r="L377" s="84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8"/>
      <c r="AA377" s="16"/>
      <c r="AB377" s="8"/>
      <c r="AC377" s="8"/>
      <c r="AD377" s="16"/>
      <c r="AE377" s="8"/>
      <c r="AF377" s="8"/>
      <c r="AG377" s="8"/>
    </row>
    <row r="378" spans="1:33" s="11" customFormat="1" ht="15" x14ac:dyDescent="0.2">
      <c r="A378" s="8"/>
      <c r="B378" s="8"/>
      <c r="C378" s="8"/>
      <c r="D378" s="8"/>
      <c r="E378" s="8"/>
      <c r="F378" s="102" t="s">
        <v>356</v>
      </c>
      <c r="G378" s="8"/>
      <c r="H378" s="81">
        <v>155.46637984053004</v>
      </c>
      <c r="I378" s="81">
        <v>151.24268261123444</v>
      </c>
      <c r="J378" s="81">
        <v>151.24268261123444</v>
      </c>
      <c r="K378" s="83">
        <v>158.50908431799149</v>
      </c>
      <c r="L378" s="83">
        <v>151.41738810083484</v>
      </c>
      <c r="M378" s="81">
        <v>12.258070447024918</v>
      </c>
      <c r="N378" s="81">
        <v>12.213521630666776</v>
      </c>
      <c r="O378" s="81">
        <v>12.484892050029814</v>
      </c>
      <c r="P378" s="81">
        <v>13.945166702590051</v>
      </c>
      <c r="Q378" s="81">
        <v>14.957689177086143</v>
      </c>
      <c r="R378" s="81">
        <v>13.825987098318528</v>
      </c>
      <c r="S378" s="81">
        <v>11.899108790834045</v>
      </c>
      <c r="T378" s="81">
        <v>12.493812553340064</v>
      </c>
      <c r="U378" s="81">
        <v>13.216797350074616</v>
      </c>
      <c r="V378" s="81">
        <v>13.374243685486459</v>
      </c>
      <c r="W378" s="81">
        <v>12.794421974694922</v>
      </c>
      <c r="X378" s="81">
        <v>12.775012920363489</v>
      </c>
      <c r="Y378" s="81">
        <v>156.09817099249133</v>
      </c>
      <c r="Z378" s="8"/>
      <c r="AA378" s="81">
        <v>158.50908431799149</v>
      </c>
      <c r="AB378" s="8"/>
      <c r="AC378" s="8"/>
      <c r="AD378" s="81">
        <v>151.41738810083487</v>
      </c>
      <c r="AE378" s="8"/>
      <c r="AF378" s="8"/>
      <c r="AG378" s="8"/>
    </row>
    <row r="379" spans="1:33" ht="15" x14ac:dyDescent="0.2">
      <c r="F379" s="96"/>
      <c r="H379" s="16"/>
      <c r="I379" s="16"/>
      <c r="J379" s="16"/>
      <c r="K379" s="85"/>
      <c r="L379" s="85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AA379" s="16"/>
      <c r="AB379" s="8"/>
      <c r="AD379" s="16"/>
      <c r="AE379" s="8"/>
    </row>
    <row r="380" spans="1:33" s="11" customFormat="1" ht="15" x14ac:dyDescent="0.2">
      <c r="A380" s="8"/>
      <c r="B380" s="8"/>
      <c r="C380" s="8"/>
      <c r="D380" s="8"/>
      <c r="E380" s="8"/>
      <c r="F380" s="102" t="s">
        <v>254</v>
      </c>
      <c r="G380" s="8"/>
      <c r="H380" s="81">
        <v>5.7287315566710904</v>
      </c>
      <c r="I380" s="81">
        <v>6.5132396294471384</v>
      </c>
      <c r="J380" s="81">
        <v>6.5132396294471384</v>
      </c>
      <c r="K380" s="83">
        <v>6.0965376275847483</v>
      </c>
      <c r="L380" s="83">
        <v>6.254404152435864</v>
      </c>
      <c r="M380" s="81">
        <v>6.8720613107822404</v>
      </c>
      <c r="N380" s="81">
        <v>6.718641481797933</v>
      </c>
      <c r="O380" s="81">
        <v>6.8506375995481932</v>
      </c>
      <c r="P380" s="81">
        <v>7.0681838821300511</v>
      </c>
      <c r="Q380" s="81">
        <v>6.6063093476384296</v>
      </c>
      <c r="R380" s="81">
        <v>6.7954428232466197</v>
      </c>
      <c r="S380" s="81">
        <v>6.3392684169491691</v>
      </c>
      <c r="T380" s="81">
        <v>5.9236425710721461</v>
      </c>
      <c r="U380" s="81">
        <v>6.774110657369059</v>
      </c>
      <c r="V380" s="81">
        <v>6.3897214056069123</v>
      </c>
      <c r="W380" s="81">
        <v>6.3759791727978081</v>
      </c>
      <c r="X380" s="81">
        <v>6.959954699173629</v>
      </c>
      <c r="Y380" s="81">
        <v>6.6245624466954309</v>
      </c>
      <c r="Z380" s="8"/>
      <c r="AA380" s="81">
        <v>6.0965376275847483</v>
      </c>
      <c r="AB380" s="8"/>
      <c r="AC380" s="8"/>
      <c r="AD380" s="81">
        <v>6.254404152435864</v>
      </c>
      <c r="AE380" s="8"/>
      <c r="AF380" s="8"/>
      <c r="AG380" s="8"/>
    </row>
    <row r="381" spans="1:33" s="11" customFormat="1" ht="15" x14ac:dyDescent="0.2">
      <c r="A381" s="8"/>
      <c r="B381" s="8"/>
      <c r="C381" s="8"/>
      <c r="D381" s="8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8"/>
      <c r="AC381" s="20"/>
      <c r="AD381" s="20"/>
      <c r="AE381" s="8"/>
      <c r="AF381" s="8"/>
      <c r="AG381" s="8"/>
    </row>
    <row r="382" spans="1:33" s="11" customFormat="1" x14ac:dyDescent="0.2">
      <c r="A382" s="42" t="s">
        <v>30</v>
      </c>
      <c r="B382" s="42" t="s">
        <v>17</v>
      </c>
      <c r="C382" s="8"/>
      <c r="D382" s="8"/>
      <c r="E382" s="8"/>
      <c r="F382" s="43" t="s">
        <v>253</v>
      </c>
      <c r="G382" s="8"/>
      <c r="H382" s="44">
        <v>0</v>
      </c>
      <c r="I382" s="44">
        <v>0</v>
      </c>
      <c r="J382" s="44">
        <v>0</v>
      </c>
      <c r="K382" s="44">
        <v>0</v>
      </c>
      <c r="L382" s="44">
        <v>0</v>
      </c>
      <c r="M382" s="44">
        <v>-3.4106051316484809E-13</v>
      </c>
      <c r="N382" s="44">
        <v>-4.5474735088646412E-13</v>
      </c>
      <c r="O382" s="44">
        <v>-2.2737367544323206E-13</v>
      </c>
      <c r="P382" s="44">
        <v>-2.2737367544323206E-13</v>
      </c>
      <c r="Q382" s="44">
        <v>-4.5474735088646412E-13</v>
      </c>
      <c r="R382" s="44">
        <v>4.5474735088646412E-13</v>
      </c>
      <c r="S382" s="44">
        <v>-9.0949470177292824E-13</v>
      </c>
      <c r="T382" s="44">
        <v>0</v>
      </c>
      <c r="U382" s="44">
        <v>-1.0004441719502211E-11</v>
      </c>
      <c r="V382" s="44">
        <v>1.0004441719502211E-11</v>
      </c>
      <c r="W382" s="44">
        <v>0</v>
      </c>
      <c r="X382" s="44">
        <v>2.7284841053187847E-12</v>
      </c>
      <c r="Y382" s="44">
        <v>0</v>
      </c>
      <c r="Z382" s="8"/>
      <c r="AA382" s="8"/>
      <c r="AB382" s="8"/>
      <c r="AC382" s="8"/>
      <c r="AD382" s="8"/>
      <c r="AE382" s="8"/>
      <c r="AF382" s="8"/>
      <c r="AG382" s="8"/>
    </row>
    <row r="383" spans="1:33" s="2" customFormat="1" ht="12.75" x14ac:dyDescent="0.2">
      <c r="F383" s="1"/>
      <c r="K383" s="49"/>
      <c r="L383" s="49"/>
      <c r="AB383" s="8"/>
      <c r="AE383" s="8"/>
    </row>
    <row r="384" spans="1:33" s="11" customFormat="1" x14ac:dyDescent="0.2">
      <c r="A384" s="8"/>
      <c r="B384" s="8"/>
      <c r="C384" s="8"/>
      <c r="D384" s="8"/>
      <c r="F384" s="11" t="s">
        <v>315</v>
      </c>
      <c r="M384" s="125" t="s">
        <v>388</v>
      </c>
      <c r="N384" s="125" t="s">
        <v>364</v>
      </c>
      <c r="O384" s="125" t="s">
        <v>316</v>
      </c>
      <c r="P384" s="125" t="s">
        <v>317</v>
      </c>
      <c r="Q384" s="125" t="s">
        <v>318</v>
      </c>
      <c r="R384" s="125" t="s">
        <v>319</v>
      </c>
      <c r="S384" s="125" t="s">
        <v>365</v>
      </c>
      <c r="T384" s="125" t="s">
        <v>320</v>
      </c>
      <c r="U384" s="125" t="s">
        <v>366</v>
      </c>
      <c r="V384" s="125" t="s">
        <v>367</v>
      </c>
      <c r="W384" s="125" t="s">
        <v>368</v>
      </c>
      <c r="X384" s="125" t="s">
        <v>369</v>
      </c>
      <c r="AB384" s="8"/>
      <c r="AE384" s="8"/>
      <c r="AF384" s="8"/>
      <c r="AG384" s="8"/>
    </row>
    <row r="385" spans="1:33" s="11" customFormat="1" x14ac:dyDescent="0.2">
      <c r="A385" s="8"/>
      <c r="B385" s="8"/>
      <c r="C385" s="8"/>
      <c r="D385" s="8"/>
      <c r="M385" s="126" t="s">
        <v>5</v>
      </c>
      <c r="N385" s="126" t="s">
        <v>6</v>
      </c>
      <c r="O385" s="126" t="s">
        <v>7</v>
      </c>
      <c r="P385" s="126" t="s">
        <v>8</v>
      </c>
      <c r="Q385" s="126" t="s">
        <v>9</v>
      </c>
      <c r="R385" s="126" t="s">
        <v>10</v>
      </c>
      <c r="S385" s="126" t="s">
        <v>321</v>
      </c>
      <c r="T385" s="126" t="s">
        <v>11</v>
      </c>
      <c r="U385" s="126" t="s">
        <v>12</v>
      </c>
      <c r="V385" s="126" t="s">
        <v>13</v>
      </c>
      <c r="W385" s="126" t="s">
        <v>14</v>
      </c>
      <c r="X385" s="126" t="s">
        <v>15</v>
      </c>
      <c r="AB385" s="8"/>
      <c r="AE385" s="8"/>
      <c r="AF385" s="8"/>
      <c r="AG385" s="8"/>
    </row>
    <row r="386" spans="1:33" s="11" customFormat="1" x14ac:dyDescent="0.2">
      <c r="A386" s="8"/>
      <c r="B386" s="8"/>
      <c r="C386" s="8"/>
      <c r="D386" s="8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AB386" s="8"/>
      <c r="AE386" s="8"/>
      <c r="AF386" s="8"/>
      <c r="AG386" s="8"/>
    </row>
    <row r="387" spans="1:33" s="11" customFormat="1" x14ac:dyDescent="0.2">
      <c r="A387" s="42" t="s">
        <v>30</v>
      </c>
      <c r="B387" s="42" t="s">
        <v>17</v>
      </c>
      <c r="C387" s="8"/>
      <c r="D387" s="8"/>
      <c r="F387" s="52">
        <v>2021</v>
      </c>
      <c r="M387" s="55">
        <v>-6.6377499999997802</v>
      </c>
      <c r="N387" s="55">
        <v>229.55591000000101</v>
      </c>
      <c r="O387" s="55">
        <v>402.60914000000099</v>
      </c>
      <c r="P387" s="55">
        <v>713.77435000000105</v>
      </c>
      <c r="Q387" s="55">
        <v>1272.9106400000001</v>
      </c>
      <c r="R387" s="55">
        <v>1599.13732</v>
      </c>
      <c r="S387" s="55">
        <v>2164.7347100000002</v>
      </c>
      <c r="T387" s="55">
        <v>3053.5558000000001</v>
      </c>
      <c r="U387" s="55">
        <v>3453.3947400000002</v>
      </c>
      <c r="V387" s="55">
        <v>3810.9470000000001</v>
      </c>
      <c r="W387" s="55">
        <v>4325.95</v>
      </c>
      <c r="X387" s="55">
        <v>4727.8189999999904</v>
      </c>
      <c r="AB387" s="8"/>
      <c r="AE387" s="8"/>
      <c r="AF387" s="8"/>
      <c r="AG387" s="8"/>
    </row>
    <row r="388" spans="1:33" s="11" customFormat="1" x14ac:dyDescent="0.2">
      <c r="A388" s="42" t="s">
        <v>30</v>
      </c>
      <c r="B388" s="42" t="s">
        <v>17</v>
      </c>
      <c r="C388" s="8"/>
      <c r="D388" s="8"/>
      <c r="F388" s="52">
        <v>2022</v>
      </c>
      <c r="M388" s="55">
        <v>263.74700000000001</v>
      </c>
      <c r="N388" s="55">
        <v>595.23800000000097</v>
      </c>
      <c r="O388" s="55">
        <v>865.09200000000101</v>
      </c>
      <c r="P388" s="55">
        <v>1182.481</v>
      </c>
      <c r="Q388" s="55">
        <v>1793.319</v>
      </c>
      <c r="R388" s="55">
        <v>2288.6509999999998</v>
      </c>
      <c r="S388" s="55">
        <v>2720.7330000000002</v>
      </c>
      <c r="T388" s="55">
        <v>3525.86</v>
      </c>
      <c r="U388" s="55">
        <v>3935.46245</v>
      </c>
      <c r="V388" s="55">
        <v>4272.2740000000003</v>
      </c>
      <c r="W388" s="55">
        <v>4722.0810000000001</v>
      </c>
      <c r="X388" s="55">
        <v>5438.6440000000002</v>
      </c>
      <c r="AB388" s="8"/>
      <c r="AE388" s="8"/>
      <c r="AF388" s="8"/>
      <c r="AG388" s="8"/>
    </row>
    <row r="389" spans="1:33" s="11" customFormat="1" x14ac:dyDescent="0.2">
      <c r="A389" s="42" t="s">
        <v>30</v>
      </c>
      <c r="B389" s="42" t="s">
        <v>17</v>
      </c>
      <c r="C389" s="8"/>
      <c r="D389" s="8"/>
      <c r="F389" s="124" t="s">
        <v>489</v>
      </c>
      <c r="L389" s="54">
        <v>5391.1546099999987</v>
      </c>
      <c r="M389" s="55">
        <v>449.26288416666654</v>
      </c>
      <c r="N389" s="55">
        <v>898.52576833333308</v>
      </c>
      <c r="O389" s="55">
        <v>1347.7886524999997</v>
      </c>
      <c r="P389" s="55">
        <v>1797.0515366666662</v>
      </c>
      <c r="Q389" s="55">
        <v>2246.3144208333329</v>
      </c>
      <c r="R389" s="55">
        <v>2695.5773049999993</v>
      </c>
      <c r="S389" s="55">
        <v>3144.8401891666658</v>
      </c>
      <c r="T389" s="55">
        <v>3594.1030733333323</v>
      </c>
      <c r="U389" s="55">
        <v>4043.3659574999988</v>
      </c>
      <c r="V389" s="55">
        <v>4492.6288416666657</v>
      </c>
      <c r="W389" s="55">
        <v>4941.8917258333322</v>
      </c>
      <c r="X389" s="55">
        <v>5391.1546099999987</v>
      </c>
      <c r="AB389" s="8"/>
      <c r="AE389" s="8"/>
      <c r="AF389" s="8"/>
      <c r="AG389" s="8"/>
    </row>
    <row r="390" spans="1:33" s="11" customFormat="1" x14ac:dyDescent="0.2">
      <c r="A390" s="42" t="s">
        <v>30</v>
      </c>
      <c r="B390" s="42" t="s">
        <v>17</v>
      </c>
      <c r="C390" s="8"/>
      <c r="D390" s="8"/>
      <c r="F390" s="52" t="s">
        <v>450</v>
      </c>
      <c r="M390" s="55">
        <v>242.52600000000001</v>
      </c>
      <c r="N390" s="55">
        <v>462.80900000000003</v>
      </c>
      <c r="O390" s="55">
        <v>698.55899999999997</v>
      </c>
      <c r="P390" s="55">
        <v>1269.788</v>
      </c>
      <c r="Q390" s="55">
        <v>2095.5169999999998</v>
      </c>
      <c r="R390" s="55">
        <v>2579.3609999999999</v>
      </c>
      <c r="S390" s="55">
        <v>3088.596</v>
      </c>
      <c r="T390" s="55">
        <v>3746.7379999999998</v>
      </c>
      <c r="U390" s="55">
        <v>4167.8399999999901</v>
      </c>
      <c r="V390" s="55">
        <v>4633.1369999999997</v>
      </c>
      <c r="W390" s="55">
        <v>5098.6819999999998</v>
      </c>
      <c r="X390" s="55">
        <v>5639.7879999999996</v>
      </c>
      <c r="AB390" s="8"/>
      <c r="AE390" s="8"/>
      <c r="AF390" s="8"/>
      <c r="AG390" s="8"/>
    </row>
    <row r="391" spans="1:33" s="11" customFormat="1" x14ac:dyDescent="0.2">
      <c r="A391" s="8"/>
      <c r="B391" s="8"/>
      <c r="C391" s="8"/>
      <c r="D391" s="8"/>
      <c r="F391" s="11" t="s">
        <v>490</v>
      </c>
      <c r="L391" s="54">
        <v>5391.1546099999987</v>
      </c>
      <c r="M391" s="55" t="s">
        <v>481</v>
      </c>
      <c r="N391" s="55" t="s">
        <v>481</v>
      </c>
      <c r="O391" s="55" t="s">
        <v>481</v>
      </c>
      <c r="P391" s="55" t="s">
        <v>481</v>
      </c>
      <c r="Q391" s="55" t="s">
        <v>481</v>
      </c>
      <c r="R391" s="55" t="s">
        <v>481</v>
      </c>
      <c r="S391" s="55" t="s">
        <v>481</v>
      </c>
      <c r="T391" s="55" t="s">
        <v>481</v>
      </c>
      <c r="U391" s="55" t="s">
        <v>481</v>
      </c>
      <c r="V391" s="55" t="s">
        <v>481</v>
      </c>
      <c r="W391" s="55" t="s">
        <v>481</v>
      </c>
      <c r="X391" s="55">
        <v>5639.7879999999996</v>
      </c>
      <c r="AB391" s="8"/>
      <c r="AE391" s="8"/>
      <c r="AF391" s="8"/>
      <c r="AG391" s="8"/>
    </row>
    <row r="392" spans="1:33" s="2" customFormat="1" ht="12.75" x14ac:dyDescent="0.2">
      <c r="F392" s="1"/>
      <c r="K392" s="49"/>
      <c r="L392" s="49"/>
      <c r="AB392" s="8"/>
      <c r="AE392" s="8"/>
    </row>
    <row r="393" spans="1:33" s="2" customFormat="1" ht="12.75" x14ac:dyDescent="0.2">
      <c r="F393" s="1"/>
      <c r="K393" s="49"/>
      <c r="L393" s="49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AB393" s="8"/>
      <c r="AE393" s="8"/>
    </row>
    <row r="394" spans="1:33" s="2" customFormat="1" ht="12.75" x14ac:dyDescent="0.2">
      <c r="F394" s="1"/>
      <c r="K394" s="49"/>
      <c r="L394" s="49"/>
      <c r="AB394" s="8"/>
      <c r="AE394" s="8"/>
    </row>
    <row r="395" spans="1:33" s="2" customFormat="1" ht="12.75" x14ac:dyDescent="0.2">
      <c r="F395" s="1"/>
      <c r="K395" s="49"/>
      <c r="L395" s="49"/>
      <c r="AB395" s="8"/>
      <c r="AE395" s="8"/>
    </row>
    <row r="396" spans="1:33" s="2" customFormat="1" ht="12.75" x14ac:dyDescent="0.2">
      <c r="F396" s="1"/>
      <c r="K396" s="49"/>
      <c r="L396" s="49"/>
      <c r="R396" s="93"/>
      <c r="S396" s="93"/>
      <c r="T396" s="93"/>
      <c r="AB396" s="8"/>
      <c r="AE396" s="8"/>
    </row>
    <row r="397" spans="1:33" s="2" customFormat="1" ht="12.75" x14ac:dyDescent="0.2">
      <c r="F397" s="1"/>
      <c r="K397" s="49"/>
      <c r="L397" s="49"/>
      <c r="AB397" s="8"/>
      <c r="AE397" s="8"/>
    </row>
    <row r="398" spans="1:33" s="2" customFormat="1" ht="12.75" x14ac:dyDescent="0.2">
      <c r="F398" s="1"/>
      <c r="K398" s="49"/>
      <c r="L398" s="49"/>
      <c r="AB398" s="8"/>
      <c r="AE398" s="8"/>
    </row>
    <row r="399" spans="1:33" s="2" customFormat="1" ht="12.75" x14ac:dyDescent="0.2">
      <c r="F399" s="1"/>
      <c r="K399" s="49"/>
      <c r="L399" s="49"/>
      <c r="AB399" s="8"/>
      <c r="AE399" s="8"/>
    </row>
    <row r="400" spans="1:33" s="2" customFormat="1" ht="12.75" x14ac:dyDescent="0.2">
      <c r="F400" s="1"/>
      <c r="K400" s="49"/>
      <c r="L400" s="49"/>
      <c r="AB400" s="8"/>
      <c r="AE400" s="8"/>
    </row>
    <row r="401" spans="6:31" s="2" customFormat="1" ht="12.75" x14ac:dyDescent="0.2">
      <c r="F401" s="1"/>
      <c r="K401" s="49"/>
      <c r="L401" s="49"/>
      <c r="AB401" s="8"/>
      <c r="AE401" s="8"/>
    </row>
    <row r="402" spans="6:31" s="2" customFormat="1" ht="12.75" x14ac:dyDescent="0.2">
      <c r="F402" s="1"/>
      <c r="K402" s="49"/>
      <c r="L402" s="49"/>
      <c r="AB402" s="8"/>
      <c r="AE402" s="8"/>
    </row>
    <row r="403" spans="6:31" s="2" customFormat="1" x14ac:dyDescent="0.2">
      <c r="F403" s="1"/>
      <c r="K403" s="49"/>
      <c r="L403" s="49"/>
      <c r="AB403" s="8"/>
      <c r="AE403" s="3"/>
    </row>
    <row r="404" spans="6:31" s="2" customFormat="1" x14ac:dyDescent="0.2">
      <c r="F404" s="1"/>
      <c r="K404" s="49"/>
      <c r="L404" s="49"/>
      <c r="AB404" s="3"/>
      <c r="AE404" s="3"/>
    </row>
    <row r="405" spans="6:31" s="2" customFormat="1" x14ac:dyDescent="0.2">
      <c r="F405" s="1"/>
      <c r="K405" s="49"/>
      <c r="L405" s="49"/>
      <c r="AB405" s="3"/>
      <c r="AE405" s="3"/>
    </row>
    <row r="406" spans="6:31" s="2" customFormat="1" x14ac:dyDescent="0.2">
      <c r="F406" s="1"/>
      <c r="K406" s="49"/>
      <c r="L406" s="49"/>
      <c r="AB406" s="3"/>
      <c r="AE406" s="3"/>
    </row>
    <row r="407" spans="6:31" s="2" customFormat="1" x14ac:dyDescent="0.2">
      <c r="F407" s="1"/>
      <c r="K407" s="49"/>
      <c r="L407" s="49"/>
      <c r="AB407" s="3"/>
      <c r="AE407" s="3"/>
    </row>
    <row r="408" spans="6:31" s="2" customFormat="1" x14ac:dyDescent="0.2">
      <c r="F408" s="1"/>
      <c r="K408" s="49"/>
      <c r="L408" s="49"/>
      <c r="AB408" s="3"/>
      <c r="AE408" s="3"/>
    </row>
    <row r="409" spans="6:31" s="2" customFormat="1" x14ac:dyDescent="0.2">
      <c r="F409" s="1"/>
      <c r="K409" s="49"/>
      <c r="L409" s="49"/>
      <c r="AB409" s="3"/>
      <c r="AE409" s="3"/>
    </row>
    <row r="410" spans="6:31" s="2" customFormat="1" x14ac:dyDescent="0.2">
      <c r="F410" s="1"/>
      <c r="K410" s="49"/>
      <c r="L410" s="49"/>
      <c r="AB410" s="3"/>
      <c r="AE410" s="3"/>
    </row>
    <row r="411" spans="6:31" s="2" customFormat="1" x14ac:dyDescent="0.2">
      <c r="F411" s="1"/>
      <c r="K411" s="49"/>
      <c r="L411" s="49"/>
      <c r="AB411" s="3"/>
      <c r="AE411" s="3"/>
    </row>
    <row r="412" spans="6:31" s="2" customFormat="1" x14ac:dyDescent="0.2">
      <c r="F412" s="1"/>
      <c r="K412" s="49"/>
      <c r="L412" s="49"/>
      <c r="AB412" s="3"/>
      <c r="AE412" s="3"/>
    </row>
    <row r="413" spans="6:31" s="2" customFormat="1" x14ac:dyDescent="0.2">
      <c r="F413" s="1"/>
      <c r="K413" s="49"/>
      <c r="L413" s="49"/>
      <c r="AB413" s="3"/>
      <c r="AE413" s="3"/>
    </row>
    <row r="414" spans="6:31" s="2" customFormat="1" x14ac:dyDescent="0.2">
      <c r="F414" s="1"/>
      <c r="K414" s="49"/>
      <c r="L414" s="49"/>
      <c r="AB414" s="3"/>
      <c r="AE414" s="3"/>
    </row>
    <row r="415" spans="6:31" s="2" customFormat="1" x14ac:dyDescent="0.2">
      <c r="F415" s="1"/>
      <c r="K415" s="49"/>
      <c r="L415" s="49"/>
      <c r="AB415" s="3"/>
      <c r="AE415" s="3"/>
    </row>
    <row r="416" spans="6:31" s="2" customFormat="1" x14ac:dyDescent="0.2">
      <c r="F416" s="1"/>
      <c r="K416" s="49"/>
      <c r="L416" s="49"/>
      <c r="AB416" s="3"/>
      <c r="AE416" s="3"/>
    </row>
    <row r="417" spans="6:31" s="2" customFormat="1" x14ac:dyDescent="0.2">
      <c r="F417" s="1"/>
      <c r="K417" s="49"/>
      <c r="L417" s="49"/>
      <c r="AB417" s="3"/>
      <c r="AE417" s="3"/>
    </row>
    <row r="418" spans="6:31" s="2" customFormat="1" x14ac:dyDescent="0.2">
      <c r="F418" s="1"/>
      <c r="K418" s="49"/>
      <c r="L418" s="49"/>
      <c r="AB418" s="3"/>
      <c r="AE418" s="3"/>
    </row>
    <row r="419" spans="6:31" s="2" customFormat="1" x14ac:dyDescent="0.2">
      <c r="F419" s="1"/>
      <c r="K419" s="49"/>
      <c r="L419" s="49"/>
      <c r="AB419" s="3"/>
      <c r="AE419" s="3"/>
    </row>
    <row r="420" spans="6:31" s="2" customFormat="1" x14ac:dyDescent="0.2">
      <c r="F420" s="1"/>
      <c r="K420" s="49"/>
      <c r="L420" s="49"/>
      <c r="AB420" s="3"/>
      <c r="AE420" s="3"/>
    </row>
    <row r="421" spans="6:31" s="2" customFormat="1" x14ac:dyDescent="0.2">
      <c r="F421" s="1"/>
      <c r="K421" s="49"/>
      <c r="L421" s="49"/>
      <c r="AB421" s="3"/>
      <c r="AE421" s="3"/>
    </row>
    <row r="422" spans="6:31" s="2" customFormat="1" x14ac:dyDescent="0.2">
      <c r="F422" s="1"/>
      <c r="K422" s="49"/>
      <c r="L422" s="49"/>
      <c r="AB422" s="3"/>
      <c r="AE422" s="3"/>
    </row>
    <row r="423" spans="6:31" s="2" customFormat="1" x14ac:dyDescent="0.2">
      <c r="F423" s="1"/>
      <c r="K423" s="49"/>
      <c r="L423" s="49"/>
      <c r="AB423" s="3"/>
      <c r="AE423" s="3"/>
    </row>
    <row r="424" spans="6:31" s="2" customFormat="1" x14ac:dyDescent="0.2">
      <c r="F424" s="1"/>
      <c r="K424" s="49"/>
      <c r="L424" s="49"/>
      <c r="AB424" s="3"/>
      <c r="AE424" s="3"/>
    </row>
    <row r="425" spans="6:31" s="2" customFormat="1" x14ac:dyDescent="0.2">
      <c r="F425" s="1"/>
      <c r="K425" s="49"/>
      <c r="L425" s="49"/>
      <c r="AB425" s="3"/>
      <c r="AE425" s="3"/>
    </row>
    <row r="426" spans="6:31" s="2" customFormat="1" x14ac:dyDescent="0.2">
      <c r="F426" s="1"/>
      <c r="K426" s="49"/>
      <c r="L426" s="49"/>
      <c r="AB426" s="3"/>
      <c r="AE426" s="3"/>
    </row>
    <row r="427" spans="6:31" s="2" customFormat="1" x14ac:dyDescent="0.2">
      <c r="F427" s="1"/>
      <c r="K427" s="49"/>
      <c r="L427" s="49"/>
      <c r="AB427" s="3"/>
      <c r="AE427" s="3"/>
    </row>
    <row r="428" spans="6:31" s="2" customFormat="1" x14ac:dyDescent="0.2">
      <c r="F428" s="1"/>
      <c r="K428" s="49"/>
      <c r="L428" s="49"/>
      <c r="AB428" s="3"/>
      <c r="AE428" s="3"/>
    </row>
    <row r="429" spans="6:31" s="2" customFormat="1" x14ac:dyDescent="0.2">
      <c r="F429" s="1"/>
      <c r="K429" s="49"/>
      <c r="L429" s="49"/>
      <c r="AB429" s="3"/>
      <c r="AE429" s="3"/>
    </row>
    <row r="430" spans="6:31" s="2" customFormat="1" x14ac:dyDescent="0.2">
      <c r="F430" s="1"/>
      <c r="K430" s="49"/>
      <c r="L430" s="49"/>
      <c r="AB430" s="3"/>
      <c r="AE430" s="3"/>
    </row>
    <row r="431" spans="6:31" s="2" customFormat="1" x14ac:dyDescent="0.2">
      <c r="F431" s="1"/>
      <c r="K431" s="49"/>
      <c r="L431" s="49"/>
      <c r="AB431" s="3"/>
      <c r="AE431" s="3"/>
    </row>
    <row r="432" spans="6:31" s="2" customFormat="1" x14ac:dyDescent="0.2">
      <c r="F432" s="1"/>
      <c r="K432" s="49"/>
      <c r="L432" s="49"/>
      <c r="AB432" s="3"/>
      <c r="AE432" s="3"/>
    </row>
    <row r="433" spans="6:31" s="2" customFormat="1" x14ac:dyDescent="0.2">
      <c r="F433" s="1"/>
      <c r="K433" s="49"/>
      <c r="L433" s="49"/>
      <c r="AB433" s="3"/>
      <c r="AE433" s="3"/>
    </row>
    <row r="434" spans="6:31" s="2" customFormat="1" x14ac:dyDescent="0.2">
      <c r="F434" s="1"/>
      <c r="K434" s="49"/>
      <c r="L434" s="49"/>
      <c r="AB434" s="3"/>
      <c r="AE434" s="3"/>
    </row>
    <row r="435" spans="6:31" s="2" customFormat="1" x14ac:dyDescent="0.2">
      <c r="F435" s="1"/>
      <c r="K435" s="49"/>
      <c r="L435" s="49"/>
      <c r="AB435" s="3"/>
      <c r="AE435" s="3"/>
    </row>
  </sheetData>
  <mergeCells count="5">
    <mergeCell ref="F9:F10"/>
    <mergeCell ref="AA9:AA10"/>
    <mergeCell ref="AB9:AB10"/>
    <mergeCell ref="AD9:AD10"/>
    <mergeCell ref="AE9:AE10"/>
  </mergeCells>
  <conditionalFormatting sqref="AB1:AB1048576">
    <cfRule type="expression" dxfId="533" priority="40" stopIfTrue="1">
      <formula>($C1&gt;0)</formula>
    </cfRule>
    <cfRule type="expression" dxfId="532" priority="41" stopIfTrue="1">
      <formula>AND($C1&lt;0,$C1&gt;=$AB$2)</formula>
    </cfRule>
    <cfRule type="expression" dxfId="531" priority="42" stopIfTrue="1">
      <formula>($C1&lt;$AB$2)</formula>
    </cfRule>
  </conditionalFormatting>
  <conditionalFormatting sqref="AE1:AE299 AE301 AE303:AE1048576">
    <cfRule type="expression" dxfId="530" priority="37" stopIfTrue="1">
      <formula>($D1&gt;0)</formula>
    </cfRule>
    <cfRule type="expression" dxfId="529" priority="38" stopIfTrue="1">
      <formula>AND($D1&lt;0,$D1&gt;=$AE$2)</formula>
    </cfRule>
    <cfRule type="expression" dxfId="528" priority="39" stopIfTrue="1">
      <formula>($D1&lt;$AE$2)</formula>
    </cfRule>
  </conditionalFormatting>
  <conditionalFormatting sqref="AB9:AB10">
    <cfRule type="expression" dxfId="527" priority="34" stopIfTrue="1">
      <formula>($C9&gt;0)</formula>
    </cfRule>
    <cfRule type="expression" dxfId="526" priority="35" stopIfTrue="1">
      <formula>AND($C9&lt;0,$C9&gt;=$AB$2)</formula>
    </cfRule>
    <cfRule type="expression" dxfId="525" priority="36" stopIfTrue="1">
      <formula>($C9&lt;$AB$2)</formula>
    </cfRule>
  </conditionalFormatting>
  <conditionalFormatting sqref="AE9:AE10">
    <cfRule type="expression" dxfId="524" priority="31" stopIfTrue="1">
      <formula>($D9&gt;0)</formula>
    </cfRule>
    <cfRule type="expression" dxfId="523" priority="32" stopIfTrue="1">
      <formula>AND($D9&lt;0,$D9&gt;=$AE$2)</formula>
    </cfRule>
    <cfRule type="expression" dxfId="522" priority="33" stopIfTrue="1">
      <formula>($D9&lt;$AE$2)</formula>
    </cfRule>
  </conditionalFormatting>
  <conditionalFormatting sqref="AD366">
    <cfRule type="expression" dxfId="521" priority="28" stopIfTrue="1">
      <formula>($D366&gt;0)</formula>
    </cfRule>
    <cfRule type="expression" dxfId="520" priority="29" stopIfTrue="1">
      <formula>AND($D366&lt;0,$D366&gt;=$AE$2)</formula>
    </cfRule>
    <cfRule type="expression" dxfId="519" priority="30" stopIfTrue="1">
      <formula>($D366&lt;$AE$2)</formula>
    </cfRule>
  </conditionalFormatting>
  <conditionalFormatting sqref="AD369">
    <cfRule type="expression" dxfId="518" priority="25" stopIfTrue="1">
      <formula>($D369&gt;0)</formula>
    </cfRule>
    <cfRule type="expression" dxfId="517" priority="26" stopIfTrue="1">
      <formula>AND($D369&lt;0,$D369&gt;=$AE$2)</formula>
    </cfRule>
    <cfRule type="expression" dxfId="516" priority="27" stopIfTrue="1">
      <formula>($D369&lt;$AE$2)</formula>
    </cfRule>
  </conditionalFormatting>
  <conditionalFormatting sqref="AE140">
    <cfRule type="expression" dxfId="515" priority="22" stopIfTrue="1">
      <formula>($D140&gt;0)</formula>
    </cfRule>
    <cfRule type="expression" dxfId="514" priority="23" stopIfTrue="1">
      <formula>AND($D140&lt;0,$D140&gt;=$AE$2)</formula>
    </cfRule>
    <cfRule type="expression" dxfId="513" priority="24" stopIfTrue="1">
      <formula>($D140&lt;$AE$2)</formula>
    </cfRule>
  </conditionalFormatting>
  <conditionalFormatting sqref="AB140">
    <cfRule type="expression" dxfId="512" priority="19" stopIfTrue="1">
      <formula>($C140&gt;0)</formula>
    </cfRule>
    <cfRule type="expression" dxfId="511" priority="20" stopIfTrue="1">
      <formula>AND($C140&lt;0,$C140&gt;=$AB$2)</formula>
    </cfRule>
    <cfRule type="expression" dxfId="510" priority="21" stopIfTrue="1">
      <formula>($C140&lt;$AB$2)</formula>
    </cfRule>
  </conditionalFormatting>
  <conditionalFormatting sqref="AE140">
    <cfRule type="expression" dxfId="509" priority="16" stopIfTrue="1">
      <formula>($D140&gt;0)</formula>
    </cfRule>
    <cfRule type="expression" dxfId="508" priority="17" stopIfTrue="1">
      <formula>AND($D140&lt;0,$D140&gt;=$AE$2)</formula>
    </cfRule>
    <cfRule type="expression" dxfId="507" priority="18" stopIfTrue="1">
      <formula>($D140&lt;$AE$2)</formula>
    </cfRule>
  </conditionalFormatting>
  <conditionalFormatting sqref="AB140">
    <cfRule type="expression" dxfId="506" priority="13" stopIfTrue="1">
      <formula>($C140&gt;0)</formula>
    </cfRule>
    <cfRule type="expression" dxfId="505" priority="14" stopIfTrue="1">
      <formula>AND($C140&lt;0,$C140&gt;=$AB$2)</formula>
    </cfRule>
    <cfRule type="expression" dxfId="504" priority="15" stopIfTrue="1">
      <formula>($C140&lt;$AB$2)</formula>
    </cfRule>
  </conditionalFormatting>
  <conditionalFormatting sqref="AE140">
    <cfRule type="expression" dxfId="503" priority="10" stopIfTrue="1">
      <formula>($D140&gt;0)</formula>
    </cfRule>
    <cfRule type="expression" dxfId="502" priority="11" stopIfTrue="1">
      <formula>AND($D140&lt;0,$D140&gt;=$AE$2)</formula>
    </cfRule>
    <cfRule type="expression" dxfId="501" priority="12" stopIfTrue="1">
      <formula>($D140&lt;$AE$2)</formula>
    </cfRule>
  </conditionalFormatting>
  <conditionalFormatting sqref="AB140">
    <cfRule type="expression" dxfId="500" priority="7" stopIfTrue="1">
      <formula>($C140&gt;0)</formula>
    </cfRule>
    <cfRule type="expression" dxfId="499" priority="8" stopIfTrue="1">
      <formula>AND($C140&lt;0,$C140&gt;=$AB$2)</formula>
    </cfRule>
    <cfRule type="expression" dxfId="498" priority="9" stopIfTrue="1">
      <formula>($C140&lt;$AB$2)</formula>
    </cfRule>
  </conditionalFormatting>
  <conditionalFormatting sqref="AE300">
    <cfRule type="expression" dxfId="497" priority="4" stopIfTrue="1">
      <formula>($D300&gt;0)</formula>
    </cfRule>
    <cfRule type="expression" dxfId="496" priority="5" stopIfTrue="1">
      <formula>AND($D300&lt;0,$D300&gt;=$AE$2)</formula>
    </cfRule>
    <cfRule type="expression" dxfId="495" priority="6" stopIfTrue="1">
      <formula>($D300&lt;$AE$2)</formula>
    </cfRule>
  </conditionalFormatting>
  <conditionalFormatting sqref="AE302">
    <cfRule type="expression" dxfId="494" priority="1" stopIfTrue="1">
      <formula>($D302&gt;0)</formula>
    </cfRule>
    <cfRule type="expression" dxfId="493" priority="2" stopIfTrue="1">
      <formula>AND($D302&lt;0,$D302&gt;=$AE$2)</formula>
    </cfRule>
    <cfRule type="expression" dxfId="492" priority="3" stopIfTrue="1">
      <formula>($D302&lt;$AE$2)</formula>
    </cfRule>
  </conditionalFormatting>
  <printOptions horizontalCentered="1"/>
  <pageMargins left="0" right="0" top="0" bottom="0" header="0.11811023622047245" footer="7.874015748031496E-2"/>
  <pageSetup paperSize="9" scale="44" fitToHeight="2" orientation="portrait" r:id="rId1"/>
  <headerFooter alignWithMargins="0">
    <oddHeader>&amp;CFICHE SUIVEUSE&amp;R&amp;D - &amp;T</oddHeader>
  </headerFooter>
  <rowBreaks count="1" manualBreakCount="1">
    <brk id="201" min="5" max="2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435"/>
  <sheetViews>
    <sheetView showGridLines="0" topLeftCell="E1" zoomScale="70" zoomScaleNormal="70" zoomScaleSheetLayoutView="75" workbookViewId="0">
      <pane ySplit="10" topLeftCell="A11" activePane="bottomLeft" state="frozen"/>
      <selection activeCell="W25" sqref="W25"/>
      <selection pane="bottomLeft" activeCell="X16" sqref="X16"/>
    </sheetView>
  </sheetViews>
  <sheetFormatPr baseColWidth="10" defaultRowHeight="14.25" outlineLevelRow="2" outlineLevelCol="1" x14ac:dyDescent="0.2"/>
  <cols>
    <col min="1" max="1" width="24.85546875" style="8" hidden="1" customWidth="1" outlineLevel="1"/>
    <col min="2" max="2" width="30.42578125" style="8" hidden="1" customWidth="1" outlineLevel="1"/>
    <col min="3" max="4" width="12.5703125" style="8" hidden="1" customWidth="1" outlineLevel="1"/>
    <col min="5" max="5" width="2.7109375" style="8" customWidth="1" collapsed="1"/>
    <col min="6" max="6" width="35.28515625" style="7" customWidth="1"/>
    <col min="7" max="7" width="1.140625" style="8" customWidth="1"/>
    <col min="8" max="10" width="10.140625" style="8" customWidth="1"/>
    <col min="11" max="11" width="10.140625" style="9" customWidth="1" outlineLevel="1"/>
    <col min="12" max="12" width="10.5703125" style="9" customWidth="1"/>
    <col min="13" max="24" width="8.7109375" style="8" customWidth="1"/>
    <col min="25" max="25" width="10.140625" style="8" customWidth="1"/>
    <col min="26" max="26" width="1.140625" style="8" customWidth="1"/>
    <col min="27" max="27" width="10.140625" style="8" customWidth="1"/>
    <col min="28" max="28" width="8.7109375" style="11" customWidth="1"/>
    <col min="29" max="29" width="1.140625" style="8" customWidth="1"/>
    <col min="30" max="30" width="10.140625" style="8" customWidth="1" outlineLevel="1"/>
    <col min="31" max="31" width="8.7109375" style="11" customWidth="1" outlineLevel="1"/>
    <col min="32" max="16384" width="11.42578125" style="8"/>
  </cols>
  <sheetData>
    <row r="1" spans="1:31" hidden="1" outlineLevel="1" x14ac:dyDescent="0.2">
      <c r="A1" s="7" t="s">
        <v>3</v>
      </c>
      <c r="B1" s="7"/>
      <c r="I1" s="10" t="s">
        <v>15</v>
      </c>
      <c r="M1" s="10" t="s">
        <v>5</v>
      </c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321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15</v>
      </c>
      <c r="AB1" s="53"/>
      <c r="AE1" s="53"/>
    </row>
    <row r="2" spans="1:31" ht="12.75" hidden="1" outlineLevel="1" x14ac:dyDescent="0.2">
      <c r="A2" s="7" t="s">
        <v>4</v>
      </c>
      <c r="B2" s="7"/>
      <c r="H2" s="12" t="s">
        <v>27</v>
      </c>
      <c r="I2" s="12" t="s">
        <v>28</v>
      </c>
      <c r="J2" s="12" t="s">
        <v>29</v>
      </c>
      <c r="K2" s="13" t="s">
        <v>32</v>
      </c>
      <c r="L2" s="13" t="s">
        <v>33</v>
      </c>
      <c r="M2" s="14" t="b">
        <v>1</v>
      </c>
      <c r="N2" s="14" t="b">
        <v>1</v>
      </c>
      <c r="O2" s="14" t="b">
        <v>1</v>
      </c>
      <c r="P2" s="14" t="b">
        <v>1</v>
      </c>
      <c r="Q2" s="14" t="b">
        <v>1</v>
      </c>
      <c r="R2" s="14" t="b">
        <v>1</v>
      </c>
      <c r="S2" s="14" t="b">
        <v>1</v>
      </c>
      <c r="T2" s="14" t="b">
        <v>1</v>
      </c>
      <c r="U2" s="14" t="b">
        <v>1</v>
      </c>
      <c r="V2" s="14" t="b">
        <v>1</v>
      </c>
      <c r="W2" s="14" t="b">
        <v>1</v>
      </c>
      <c r="X2" s="14" t="b">
        <v>1</v>
      </c>
      <c r="Y2" s="12" t="s">
        <v>33</v>
      </c>
      <c r="AA2" s="128"/>
      <c r="AB2" s="129">
        <v>-0.15</v>
      </c>
      <c r="AD2" s="128"/>
      <c r="AE2" s="129">
        <v>-0.15</v>
      </c>
    </row>
    <row r="3" spans="1:31" hidden="1" outlineLevel="1" x14ac:dyDescent="0.15">
      <c r="A3" s="7" t="s">
        <v>416</v>
      </c>
      <c r="B3" s="7"/>
      <c r="H3" s="127" t="s">
        <v>459</v>
      </c>
      <c r="I3" s="127" t="s">
        <v>459</v>
      </c>
      <c r="J3" s="127" t="s">
        <v>459</v>
      </c>
      <c r="K3" s="130" t="s">
        <v>460</v>
      </c>
      <c r="L3" s="130" t="s">
        <v>461</v>
      </c>
      <c r="M3" s="127" t="s">
        <v>459</v>
      </c>
      <c r="N3" s="127" t="s">
        <v>459</v>
      </c>
      <c r="O3" s="127" t="s">
        <v>459</v>
      </c>
      <c r="P3" s="127" t="s">
        <v>459</v>
      </c>
      <c r="Q3" s="127" t="s">
        <v>459</v>
      </c>
      <c r="R3" s="127" t="s">
        <v>459</v>
      </c>
      <c r="S3" s="127" t="s">
        <v>459</v>
      </c>
      <c r="T3" s="127" t="s">
        <v>459</v>
      </c>
      <c r="U3" s="127" t="s">
        <v>459</v>
      </c>
      <c r="V3" s="127" t="s">
        <v>459</v>
      </c>
      <c r="W3" s="127" t="s">
        <v>459</v>
      </c>
      <c r="X3" s="127" t="s">
        <v>459</v>
      </c>
      <c r="Y3" s="127" t="s">
        <v>459</v>
      </c>
      <c r="AB3" s="53"/>
      <c r="AE3" s="53"/>
    </row>
    <row r="4" spans="1:31" hidden="1" outlineLevel="1" x14ac:dyDescent="0.15">
      <c r="A4" s="15" t="s">
        <v>462</v>
      </c>
      <c r="B4" s="7"/>
      <c r="H4" s="127" t="s">
        <v>463</v>
      </c>
      <c r="I4" s="127" t="s">
        <v>463</v>
      </c>
      <c r="J4" s="127" t="s">
        <v>463</v>
      </c>
      <c r="K4" s="130" t="s">
        <v>464</v>
      </c>
      <c r="L4" s="130" t="s">
        <v>465</v>
      </c>
      <c r="M4" s="127" t="s">
        <v>463</v>
      </c>
      <c r="N4" s="127" t="s">
        <v>463</v>
      </c>
      <c r="O4" s="127" t="s">
        <v>463</v>
      </c>
      <c r="P4" s="127" t="s">
        <v>463</v>
      </c>
      <c r="Q4" s="127" t="s">
        <v>463</v>
      </c>
      <c r="R4" s="127" t="s">
        <v>463</v>
      </c>
      <c r="S4" s="127" t="s">
        <v>463</v>
      </c>
      <c r="T4" s="127" t="s">
        <v>463</v>
      </c>
      <c r="U4" s="127" t="s">
        <v>463</v>
      </c>
      <c r="V4" s="127" t="s">
        <v>463</v>
      </c>
      <c r="W4" s="127" t="s">
        <v>463</v>
      </c>
      <c r="X4" s="127" t="s">
        <v>463</v>
      </c>
      <c r="Y4" s="127" t="s">
        <v>463</v>
      </c>
      <c r="AA4" s="128"/>
      <c r="AB4" s="131"/>
      <c r="AD4" s="128"/>
      <c r="AE4" s="131"/>
    </row>
    <row r="5" spans="1:31" hidden="1" outlineLevel="1" x14ac:dyDescent="0.15">
      <c r="B5" s="7"/>
      <c r="H5" s="127" t="s">
        <v>466</v>
      </c>
      <c r="I5" s="127" t="s">
        <v>467</v>
      </c>
      <c r="J5" s="127" t="s">
        <v>467</v>
      </c>
      <c r="K5" s="130" t="s">
        <v>468</v>
      </c>
      <c r="L5" s="130" t="s">
        <v>469</v>
      </c>
      <c r="M5" s="127" t="s">
        <v>468</v>
      </c>
      <c r="N5" s="127" t="s">
        <v>470</v>
      </c>
      <c r="O5" s="127" t="s">
        <v>471</v>
      </c>
      <c r="P5" s="127" t="s">
        <v>472</v>
      </c>
      <c r="Q5" s="127" t="s">
        <v>473</v>
      </c>
      <c r="R5" s="127" t="s">
        <v>474</v>
      </c>
      <c r="S5" s="127" t="s">
        <v>475</v>
      </c>
      <c r="T5" s="127" t="s">
        <v>476</v>
      </c>
      <c r="U5" s="127" t="s">
        <v>477</v>
      </c>
      <c r="V5" s="127" t="s">
        <v>478</v>
      </c>
      <c r="W5" s="127" t="s">
        <v>479</v>
      </c>
      <c r="X5" s="127" t="s">
        <v>480</v>
      </c>
      <c r="Y5" s="127" t="s">
        <v>480</v>
      </c>
      <c r="AA5" s="128"/>
      <c r="AB5" s="131"/>
      <c r="AD5" s="128"/>
      <c r="AE5" s="131"/>
    </row>
    <row r="6" spans="1:31" hidden="1" outlineLevel="1" x14ac:dyDescent="0.2">
      <c r="G6" s="7"/>
      <c r="I6" s="9" t="s">
        <v>481</v>
      </c>
      <c r="J6" s="9" t="s">
        <v>481</v>
      </c>
      <c r="K6" s="9" t="s">
        <v>491</v>
      </c>
      <c r="L6" s="9" t="s">
        <v>491</v>
      </c>
      <c r="AB6" s="53"/>
      <c r="AE6" s="53"/>
    </row>
    <row r="7" spans="1:31" s="16" customFormat="1" ht="15.75" collapsed="1" x14ac:dyDescent="0.2">
      <c r="F7" s="17" t="s">
        <v>382</v>
      </c>
      <c r="K7" s="18"/>
      <c r="L7" s="18"/>
      <c r="M7" s="19"/>
      <c r="AB7" s="20"/>
      <c r="AE7" s="20"/>
    </row>
    <row r="8" spans="1:31" s="21" customFormat="1" ht="7.5" customHeight="1" x14ac:dyDescent="0.2">
      <c r="F8" s="22"/>
      <c r="G8" s="16"/>
      <c r="J8" s="24"/>
      <c r="K8" s="23"/>
      <c r="L8" s="23"/>
      <c r="Z8" s="16"/>
      <c r="AA8" s="24"/>
      <c r="AB8" s="22"/>
      <c r="AD8" s="24"/>
      <c r="AE8" s="22"/>
    </row>
    <row r="9" spans="1:31" ht="12.75" customHeight="1" x14ac:dyDescent="0.2">
      <c r="F9" s="295" t="s">
        <v>426</v>
      </c>
      <c r="G9" s="16"/>
      <c r="H9" s="135" t="s">
        <v>1</v>
      </c>
      <c r="I9" s="26" t="s">
        <v>1</v>
      </c>
      <c r="J9" s="26" t="s">
        <v>1</v>
      </c>
      <c r="K9" s="136" t="s">
        <v>380</v>
      </c>
      <c r="L9" s="136" t="s">
        <v>449</v>
      </c>
      <c r="M9" s="27" t="s">
        <v>1</v>
      </c>
      <c r="N9" s="27" t="s">
        <v>1</v>
      </c>
      <c r="O9" s="27" t="s">
        <v>1</v>
      </c>
      <c r="P9" s="27" t="s">
        <v>1</v>
      </c>
      <c r="Q9" s="27" t="s">
        <v>1</v>
      </c>
      <c r="R9" s="27" t="s">
        <v>1</v>
      </c>
      <c r="S9" s="27" t="s">
        <v>1</v>
      </c>
      <c r="T9" s="27" t="s">
        <v>1</v>
      </c>
      <c r="U9" s="27" t="s">
        <v>1</v>
      </c>
      <c r="V9" s="27" t="s">
        <v>1</v>
      </c>
      <c r="W9" s="27" t="s">
        <v>1</v>
      </c>
      <c r="X9" s="27" t="s">
        <v>1</v>
      </c>
      <c r="Y9" s="139" t="s">
        <v>1</v>
      </c>
      <c r="Z9" s="16"/>
      <c r="AA9" s="296" t="s">
        <v>482</v>
      </c>
      <c r="AB9" s="298" t="s">
        <v>483</v>
      </c>
      <c r="AC9" s="25"/>
      <c r="AD9" s="296" t="s">
        <v>484</v>
      </c>
      <c r="AE9" s="298" t="s">
        <v>485</v>
      </c>
    </row>
    <row r="10" spans="1:31" ht="12.75" customHeight="1" x14ac:dyDescent="0.2">
      <c r="F10" s="295"/>
      <c r="G10" s="16"/>
      <c r="H10" s="28" t="s">
        <v>486</v>
      </c>
      <c r="I10" s="28" t="s">
        <v>487</v>
      </c>
      <c r="J10" s="28" t="s">
        <v>487</v>
      </c>
      <c r="K10" s="137" t="s">
        <v>450</v>
      </c>
      <c r="L10" s="137" t="s">
        <v>450</v>
      </c>
      <c r="M10" s="29" t="s">
        <v>5</v>
      </c>
      <c r="N10" s="29" t="s">
        <v>6</v>
      </c>
      <c r="O10" s="29" t="s">
        <v>7</v>
      </c>
      <c r="P10" s="29" t="s">
        <v>8</v>
      </c>
      <c r="Q10" s="29" t="s">
        <v>9</v>
      </c>
      <c r="R10" s="29" t="s">
        <v>10</v>
      </c>
      <c r="S10" s="29" t="s">
        <v>321</v>
      </c>
      <c r="T10" s="29" t="s">
        <v>11</v>
      </c>
      <c r="U10" s="29" t="s">
        <v>12</v>
      </c>
      <c r="V10" s="29" t="s">
        <v>13</v>
      </c>
      <c r="W10" s="29" t="s">
        <v>14</v>
      </c>
      <c r="X10" s="29" t="s">
        <v>15</v>
      </c>
      <c r="Y10" s="140" t="s">
        <v>488</v>
      </c>
      <c r="Z10" s="16"/>
      <c r="AA10" s="297"/>
      <c r="AB10" s="299"/>
      <c r="AC10" s="25"/>
      <c r="AD10" s="297"/>
      <c r="AE10" s="299"/>
    </row>
    <row r="11" spans="1:31" ht="18" hidden="1" customHeight="1" outlineLevel="1" x14ac:dyDescent="0.2">
      <c r="A11" s="30" t="s">
        <v>2</v>
      </c>
      <c r="B11" s="30" t="s">
        <v>230</v>
      </c>
      <c r="C11" s="4">
        <v>-0.32197561738043134</v>
      </c>
      <c r="D11" s="4">
        <v>-5.350565965205737E-2</v>
      </c>
      <c r="F11" s="94" t="s">
        <v>280</v>
      </c>
      <c r="G11" s="16"/>
      <c r="H11" s="59">
        <v>110.59</v>
      </c>
      <c r="I11" s="59">
        <v>162.89400000000001</v>
      </c>
      <c r="J11" s="59">
        <v>162.89400000000001</v>
      </c>
      <c r="K11" s="86">
        <v>268.71600000000001</v>
      </c>
      <c r="L11" s="86">
        <v>192.50299999999999</v>
      </c>
      <c r="M11" s="59">
        <v>5.3869999999999996</v>
      </c>
      <c r="N11" s="59">
        <v>22.37</v>
      </c>
      <c r="O11" s="59">
        <v>14.791</v>
      </c>
      <c r="P11" s="59">
        <v>14.098999999999997</v>
      </c>
      <c r="Q11" s="59">
        <v>14.285000000000004</v>
      </c>
      <c r="R11" s="59">
        <v>14.209999999999994</v>
      </c>
      <c r="S11" s="59">
        <v>24.281000000000006</v>
      </c>
      <c r="T11" s="59">
        <v>15.706999999999994</v>
      </c>
      <c r="U11" s="59">
        <v>14.819999999999993</v>
      </c>
      <c r="V11" s="59">
        <v>17.62700000000001</v>
      </c>
      <c r="W11" s="59">
        <v>15.590000000000003</v>
      </c>
      <c r="X11" s="59">
        <v>9.032999999999987</v>
      </c>
      <c r="Y11" s="59">
        <v>182.2</v>
      </c>
      <c r="Z11" s="16"/>
      <c r="AA11" s="59">
        <v>268.71600000000001</v>
      </c>
      <c r="AB11" s="60">
        <v>-86.52</v>
      </c>
      <c r="AC11" s="31"/>
      <c r="AD11" s="59">
        <v>192.50300000000001</v>
      </c>
      <c r="AE11" s="60">
        <v>-10.3</v>
      </c>
    </row>
    <row r="12" spans="1:31" ht="18" hidden="1" customHeight="1" outlineLevel="1" x14ac:dyDescent="0.2">
      <c r="A12" s="30" t="s">
        <v>2</v>
      </c>
      <c r="B12" s="30" t="s">
        <v>233</v>
      </c>
      <c r="C12" s="4">
        <v>1.9038163277273711E-2</v>
      </c>
      <c r="D12" s="4">
        <v>1.4526362500760327E-2</v>
      </c>
      <c r="F12" s="94" t="s">
        <v>281</v>
      </c>
      <c r="G12" s="16"/>
      <c r="H12" s="59">
        <v>7776.9650000000001</v>
      </c>
      <c r="I12" s="59">
        <v>7547.9229999999998</v>
      </c>
      <c r="J12" s="59">
        <v>7547.9229999999998</v>
      </c>
      <c r="K12" s="86">
        <v>6923.4620000000004</v>
      </c>
      <c r="L12" s="86">
        <v>6954.2529999999997</v>
      </c>
      <c r="M12" s="59">
        <v>555.23299999999995</v>
      </c>
      <c r="N12" s="59">
        <v>487.97600000000011</v>
      </c>
      <c r="O12" s="59">
        <v>532.62300000000005</v>
      </c>
      <c r="P12" s="59">
        <v>660.71499999999992</v>
      </c>
      <c r="Q12" s="59">
        <v>612.38499999999976</v>
      </c>
      <c r="R12" s="59">
        <v>598.70800000000008</v>
      </c>
      <c r="S12" s="59">
        <v>562.04500000000007</v>
      </c>
      <c r="T12" s="59">
        <v>608.00499999999965</v>
      </c>
      <c r="U12" s="59">
        <v>590.07900000000063</v>
      </c>
      <c r="V12" s="59">
        <v>589.41499999999996</v>
      </c>
      <c r="W12" s="59">
        <v>574.6269999999995</v>
      </c>
      <c r="X12" s="59">
        <v>683.46</v>
      </c>
      <c r="Y12" s="59">
        <v>7055.2709999999997</v>
      </c>
      <c r="Z12" s="16"/>
      <c r="AA12" s="59">
        <v>6923.4620000000004</v>
      </c>
      <c r="AB12" s="60">
        <v>131.81</v>
      </c>
      <c r="AC12" s="31"/>
      <c r="AD12" s="59">
        <v>6954.2529999999997</v>
      </c>
      <c r="AE12" s="60">
        <v>101.02</v>
      </c>
    </row>
    <row r="13" spans="1:31" ht="18" hidden="1" customHeight="1" outlineLevel="1" x14ac:dyDescent="0.2">
      <c r="A13" s="30" t="s">
        <v>2</v>
      </c>
      <c r="B13" s="30" t="s">
        <v>229</v>
      </c>
      <c r="C13" s="4">
        <v>0</v>
      </c>
      <c r="D13" s="4">
        <v>0</v>
      </c>
      <c r="F13" s="94" t="s">
        <v>282</v>
      </c>
      <c r="G13" s="16"/>
      <c r="H13" s="59">
        <v>0</v>
      </c>
      <c r="I13" s="59">
        <v>0</v>
      </c>
      <c r="J13" s="59">
        <v>0</v>
      </c>
      <c r="K13" s="86">
        <v>0</v>
      </c>
      <c r="L13" s="86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16"/>
      <c r="AA13" s="59">
        <v>0</v>
      </c>
      <c r="AB13" s="60">
        <v>0</v>
      </c>
      <c r="AC13" s="31"/>
      <c r="AD13" s="59">
        <v>0</v>
      </c>
      <c r="AE13" s="60">
        <v>0</v>
      </c>
    </row>
    <row r="14" spans="1:31" ht="18" hidden="1" customHeight="1" outlineLevel="1" x14ac:dyDescent="0.2">
      <c r="A14" s="30" t="s">
        <v>2</v>
      </c>
      <c r="B14" s="30" t="s">
        <v>232</v>
      </c>
      <c r="C14" s="4">
        <v>0.13591250589115911</v>
      </c>
      <c r="D14" s="4">
        <v>-2.7500927639373103E-4</v>
      </c>
      <c r="F14" s="94" t="s">
        <v>283</v>
      </c>
      <c r="G14" s="16"/>
      <c r="H14" s="59">
        <v>7245.1719999999996</v>
      </c>
      <c r="I14" s="59">
        <v>8478.8359999999993</v>
      </c>
      <c r="J14" s="59">
        <v>8478.8359999999993</v>
      </c>
      <c r="K14" s="86">
        <v>8512.7559999999994</v>
      </c>
      <c r="L14" s="86">
        <v>9672.4009999999998</v>
      </c>
      <c r="M14" s="59">
        <v>735.74599999999998</v>
      </c>
      <c r="N14" s="59">
        <v>768.19899999999996</v>
      </c>
      <c r="O14" s="59">
        <v>790.23900000000026</v>
      </c>
      <c r="P14" s="59">
        <v>744.43499999999995</v>
      </c>
      <c r="Q14" s="59">
        <v>930.40599999999995</v>
      </c>
      <c r="R14" s="59">
        <v>813.529</v>
      </c>
      <c r="S14" s="59">
        <v>801.80699999999979</v>
      </c>
      <c r="T14" s="59">
        <v>815.65700000000015</v>
      </c>
      <c r="U14" s="59">
        <v>822.30000000000018</v>
      </c>
      <c r="V14" s="59">
        <v>861.11700000000019</v>
      </c>
      <c r="W14" s="59">
        <v>840.73000000000047</v>
      </c>
      <c r="X14" s="59">
        <v>745.57999999999993</v>
      </c>
      <c r="Y14" s="59">
        <v>9669.7450000000008</v>
      </c>
      <c r="Z14" s="16"/>
      <c r="AA14" s="59">
        <v>8512.7559999999994</v>
      </c>
      <c r="AB14" s="60">
        <v>1156.99</v>
      </c>
      <c r="AC14" s="31"/>
      <c r="AD14" s="59">
        <v>9672.4009999999998</v>
      </c>
      <c r="AE14" s="60">
        <v>-2.66</v>
      </c>
    </row>
    <row r="15" spans="1:31" ht="18" hidden="1" customHeight="1" outlineLevel="1" x14ac:dyDescent="0.2">
      <c r="A15" s="30" t="s">
        <v>2</v>
      </c>
      <c r="B15" s="30" t="s">
        <v>231</v>
      </c>
      <c r="C15" s="4">
        <v>0</v>
      </c>
      <c r="D15" s="4">
        <v>0</v>
      </c>
      <c r="F15" s="94" t="s">
        <v>284</v>
      </c>
      <c r="G15" s="16"/>
      <c r="H15" s="59">
        <v>0</v>
      </c>
      <c r="I15" s="59">
        <v>0</v>
      </c>
      <c r="J15" s="59">
        <v>0</v>
      </c>
      <c r="K15" s="86">
        <v>0</v>
      </c>
      <c r="L15" s="86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16"/>
      <c r="AA15" s="59">
        <v>0</v>
      </c>
      <c r="AB15" s="60">
        <v>0</v>
      </c>
      <c r="AC15" s="31"/>
      <c r="AD15" s="59">
        <v>0</v>
      </c>
      <c r="AE15" s="60">
        <v>0</v>
      </c>
    </row>
    <row r="16" spans="1:31" ht="18" customHeight="1" collapsed="1" x14ac:dyDescent="0.2">
      <c r="A16" s="30" t="s">
        <v>2</v>
      </c>
      <c r="B16" s="30" t="s">
        <v>203</v>
      </c>
      <c r="C16" s="4">
        <v>7.6554285423931098E-2</v>
      </c>
      <c r="D16" s="4">
        <v>5.2356964145111439E-3</v>
      </c>
      <c r="E16" s="9"/>
      <c r="F16" s="51" t="s">
        <v>285</v>
      </c>
      <c r="G16" s="16"/>
      <c r="H16" s="61">
        <v>15132.727000000001</v>
      </c>
      <c r="I16" s="61">
        <v>16189.653</v>
      </c>
      <c r="J16" s="61">
        <v>16189.653</v>
      </c>
      <c r="K16" s="86">
        <v>15704.933999999999</v>
      </c>
      <c r="L16" s="86">
        <v>16819.156999999999</v>
      </c>
      <c r="M16" s="61">
        <v>1296.366</v>
      </c>
      <c r="N16" s="61">
        <v>1278.5450000000001</v>
      </c>
      <c r="O16" s="61">
        <v>1337.6529999999998</v>
      </c>
      <c r="P16" s="61">
        <v>1419.2490000000003</v>
      </c>
      <c r="Q16" s="61">
        <v>1557.076</v>
      </c>
      <c r="R16" s="61">
        <v>1426.4469999999992</v>
      </c>
      <c r="S16" s="61">
        <v>1388.1329999999998</v>
      </c>
      <c r="T16" s="61">
        <v>1439.3690000000006</v>
      </c>
      <c r="U16" s="61">
        <v>1427.1990000000005</v>
      </c>
      <c r="V16" s="61">
        <v>1468.1589999999997</v>
      </c>
      <c r="W16" s="61">
        <v>1430.9470000000001</v>
      </c>
      <c r="X16" s="61">
        <v>1438.0730000000003</v>
      </c>
      <c r="Y16" s="61">
        <v>16907.216</v>
      </c>
      <c r="Z16" s="16"/>
      <c r="AA16" s="61">
        <v>15704.933999999999</v>
      </c>
      <c r="AB16" s="60">
        <v>1202.28</v>
      </c>
      <c r="AD16" s="61">
        <v>16819.156999999999</v>
      </c>
      <c r="AE16" s="60">
        <v>88.06</v>
      </c>
    </row>
    <row r="17" spans="1:33" ht="18" customHeight="1" x14ac:dyDescent="0.2">
      <c r="A17" s="30" t="s">
        <v>2</v>
      </c>
      <c r="B17" s="30" t="s">
        <v>31</v>
      </c>
      <c r="C17" s="4">
        <v>0</v>
      </c>
      <c r="D17" s="4">
        <v>0</v>
      </c>
      <c r="F17" s="51" t="s">
        <v>286</v>
      </c>
      <c r="G17" s="16"/>
      <c r="H17" s="61">
        <v>0</v>
      </c>
      <c r="I17" s="61">
        <v>0</v>
      </c>
      <c r="J17" s="61">
        <v>0</v>
      </c>
      <c r="K17" s="86">
        <v>0</v>
      </c>
      <c r="L17" s="86">
        <v>0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61">
        <v>0</v>
      </c>
      <c r="W17" s="61">
        <v>0</v>
      </c>
      <c r="X17" s="61">
        <v>0</v>
      </c>
      <c r="Y17" s="61">
        <v>0</v>
      </c>
      <c r="Z17" s="16"/>
      <c r="AA17" s="61">
        <v>0</v>
      </c>
      <c r="AB17" s="60">
        <v>0</v>
      </c>
      <c r="AD17" s="61">
        <v>0</v>
      </c>
      <c r="AE17" s="60">
        <v>0</v>
      </c>
    </row>
    <row r="18" spans="1:33" s="7" customFormat="1" ht="18" customHeight="1" x14ac:dyDescent="0.2">
      <c r="A18" s="32"/>
      <c r="B18" s="32"/>
      <c r="C18" s="4">
        <v>7.6554285423931098E-2</v>
      </c>
      <c r="D18" s="4">
        <v>5.2356964145111439E-3</v>
      </c>
      <c r="E18" s="8"/>
      <c r="F18" s="45" t="s">
        <v>217</v>
      </c>
      <c r="G18" s="16"/>
      <c r="H18" s="62">
        <v>15132.727000000001</v>
      </c>
      <c r="I18" s="62">
        <v>16189.653</v>
      </c>
      <c r="J18" s="62">
        <v>16189.653</v>
      </c>
      <c r="K18" s="108">
        <v>15704.933999999999</v>
      </c>
      <c r="L18" s="108">
        <v>16819.156999999999</v>
      </c>
      <c r="M18" s="62">
        <v>1296.366</v>
      </c>
      <c r="N18" s="62">
        <v>1278.5450000000001</v>
      </c>
      <c r="O18" s="62">
        <v>1337.6529999999998</v>
      </c>
      <c r="P18" s="62">
        <v>1419.2490000000003</v>
      </c>
      <c r="Q18" s="62">
        <v>1557.076</v>
      </c>
      <c r="R18" s="62">
        <v>1426.4469999999992</v>
      </c>
      <c r="S18" s="62">
        <v>1388.1329999999998</v>
      </c>
      <c r="T18" s="62">
        <v>1439.3690000000006</v>
      </c>
      <c r="U18" s="62">
        <v>1427.1990000000005</v>
      </c>
      <c r="V18" s="62">
        <v>1468.1589999999997</v>
      </c>
      <c r="W18" s="62">
        <v>1430.9470000000001</v>
      </c>
      <c r="X18" s="62">
        <v>1438.0730000000003</v>
      </c>
      <c r="Y18" s="62">
        <v>16907.216</v>
      </c>
      <c r="Z18" s="16"/>
      <c r="AA18" s="62">
        <v>15704.933999999999</v>
      </c>
      <c r="AB18" s="60">
        <v>1202.28</v>
      </c>
      <c r="AD18" s="62">
        <v>16819.156999999999</v>
      </c>
      <c r="AE18" s="60">
        <v>88.06</v>
      </c>
    </row>
    <row r="19" spans="1:33" ht="8.25" customHeight="1" x14ac:dyDescent="0.2">
      <c r="A19" s="116"/>
      <c r="F19" s="8"/>
      <c r="G19" s="16"/>
      <c r="K19" s="8"/>
      <c r="L19" s="8"/>
      <c r="Z19" s="16"/>
      <c r="AB19" s="8"/>
      <c r="AE19" s="8"/>
    </row>
    <row r="20" spans="1:33" s="7" customFormat="1" ht="18" customHeight="1" x14ac:dyDescent="0.2">
      <c r="A20" s="117" t="s">
        <v>310</v>
      </c>
      <c r="B20" s="117" t="s">
        <v>203</v>
      </c>
      <c r="C20" s="5">
        <v>-0.28039555006180472</v>
      </c>
      <c r="D20" s="5">
        <v>3.8644067796610171E-2</v>
      </c>
      <c r="F20" s="118" t="s">
        <v>326</v>
      </c>
      <c r="G20" s="16"/>
      <c r="H20" s="120">
        <v>1817.759</v>
      </c>
      <c r="I20" s="120">
        <v>1331.9069999999999</v>
      </c>
      <c r="J20" s="120">
        <v>1331.9069999999999</v>
      </c>
      <c r="K20" s="121">
        <v>1618</v>
      </c>
      <c r="L20" s="121">
        <v>1121</v>
      </c>
      <c r="M20" s="120">
        <v>87.373999999999995</v>
      </c>
      <c r="N20" s="120">
        <v>92.968999999999994</v>
      </c>
      <c r="O20" s="120">
        <v>81.469000000000023</v>
      </c>
      <c r="P20" s="120">
        <v>103.23099999999999</v>
      </c>
      <c r="Q20" s="120">
        <v>67.71999999999997</v>
      </c>
      <c r="R20" s="120">
        <v>114.95499999999998</v>
      </c>
      <c r="S20" s="120">
        <v>72.746000000000095</v>
      </c>
      <c r="T20" s="120">
        <v>67.118999999999915</v>
      </c>
      <c r="U20" s="120">
        <v>75.48599999999999</v>
      </c>
      <c r="V20" s="120">
        <v>104.46400000000006</v>
      </c>
      <c r="W20" s="120">
        <v>126.79700000000003</v>
      </c>
      <c r="X20" s="120">
        <v>169.98899999999992</v>
      </c>
      <c r="Y20" s="120">
        <v>1164.319</v>
      </c>
      <c r="Z20" s="16"/>
      <c r="AA20" s="120">
        <v>1618</v>
      </c>
      <c r="AB20" s="60">
        <v>-453.68</v>
      </c>
      <c r="AD20" s="120">
        <v>1121</v>
      </c>
      <c r="AE20" s="60">
        <v>43.32</v>
      </c>
    </row>
    <row r="21" spans="1:33" ht="8.25" customHeight="1" x14ac:dyDescent="0.2">
      <c r="A21" s="116"/>
      <c r="F21" s="8"/>
      <c r="G21" s="16"/>
      <c r="K21" s="8"/>
      <c r="L21" s="8"/>
      <c r="Z21" s="16"/>
      <c r="AB21" s="8"/>
      <c r="AE21" s="8"/>
    </row>
    <row r="22" spans="1:33" ht="18" customHeight="1" x14ac:dyDescent="0.2">
      <c r="A22" s="30" t="s">
        <v>310</v>
      </c>
      <c r="B22" s="30" t="s">
        <v>115</v>
      </c>
      <c r="C22" s="4">
        <v>0</v>
      </c>
      <c r="D22" s="4">
        <v>0</v>
      </c>
      <c r="F22" s="51" t="s">
        <v>327</v>
      </c>
      <c r="G22" s="16"/>
      <c r="H22" s="61">
        <v>0</v>
      </c>
      <c r="I22" s="61">
        <v>0</v>
      </c>
      <c r="J22" s="61">
        <v>0</v>
      </c>
      <c r="K22" s="86">
        <v>0</v>
      </c>
      <c r="L22" s="86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16"/>
      <c r="AA22" s="61">
        <v>0</v>
      </c>
      <c r="AB22" s="60">
        <v>0</v>
      </c>
      <c r="AC22" s="34"/>
      <c r="AD22" s="61">
        <v>0</v>
      </c>
      <c r="AE22" s="60">
        <v>0</v>
      </c>
    </row>
    <row r="23" spans="1:33" ht="18" customHeight="1" x14ac:dyDescent="0.2">
      <c r="A23" s="30" t="s">
        <v>310</v>
      </c>
      <c r="B23" s="30" t="s">
        <v>116</v>
      </c>
      <c r="C23" s="4">
        <v>0</v>
      </c>
      <c r="D23" s="4">
        <v>0</v>
      </c>
      <c r="F23" s="51" t="s">
        <v>328</v>
      </c>
      <c r="G23" s="16"/>
      <c r="H23" s="61">
        <v>0</v>
      </c>
      <c r="I23" s="61">
        <v>0</v>
      </c>
      <c r="J23" s="61">
        <v>0</v>
      </c>
      <c r="K23" s="86">
        <v>0</v>
      </c>
      <c r="L23" s="86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16"/>
      <c r="AA23" s="61">
        <v>0</v>
      </c>
      <c r="AB23" s="60">
        <v>0</v>
      </c>
      <c r="AC23" s="34"/>
      <c r="AD23" s="61">
        <v>0</v>
      </c>
      <c r="AE23" s="60">
        <v>0</v>
      </c>
    </row>
    <row r="24" spans="1:33" ht="18" hidden="1" customHeight="1" outlineLevel="1" x14ac:dyDescent="0.2">
      <c r="A24" s="46" t="s">
        <v>298</v>
      </c>
      <c r="B24" s="46" t="s">
        <v>117</v>
      </c>
      <c r="C24" s="47">
        <v>0.98901098901098905</v>
      </c>
      <c r="D24" s="47">
        <v>0.98901098901098905</v>
      </c>
      <c r="E24" s="31"/>
      <c r="F24" s="94" t="s">
        <v>329</v>
      </c>
      <c r="G24" s="16"/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0.39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-0.29900000000000004</v>
      </c>
      <c r="X24" s="59">
        <v>2.7755575615628914E-17</v>
      </c>
      <c r="Y24" s="59">
        <v>9.0999999999999998E-2</v>
      </c>
      <c r="Z24" s="16"/>
      <c r="AA24" s="59">
        <v>0</v>
      </c>
      <c r="AB24" s="63">
        <v>0.09</v>
      </c>
      <c r="AC24" s="31"/>
      <c r="AD24" s="59">
        <v>0</v>
      </c>
      <c r="AE24" s="63">
        <v>0.09</v>
      </c>
    </row>
    <row r="25" spans="1:33" ht="18" customHeight="1" collapsed="1" x14ac:dyDescent="0.2">
      <c r="A25" s="32"/>
      <c r="B25" s="32"/>
      <c r="C25" s="4">
        <v>0</v>
      </c>
      <c r="D25" s="4">
        <v>0</v>
      </c>
      <c r="F25" s="51" t="s">
        <v>372</v>
      </c>
      <c r="G25" s="16"/>
      <c r="H25" s="61">
        <v>0</v>
      </c>
      <c r="I25" s="61">
        <v>0</v>
      </c>
      <c r="J25" s="61">
        <v>0</v>
      </c>
      <c r="K25" s="86">
        <v>0</v>
      </c>
      <c r="L25" s="86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2.7755575615628914E-17</v>
      </c>
      <c r="Y25" s="61">
        <v>0</v>
      </c>
      <c r="Z25" s="16"/>
      <c r="AA25" s="61">
        <v>0</v>
      </c>
      <c r="AB25" s="60">
        <v>0</v>
      </c>
      <c r="AC25" s="34"/>
      <c r="AD25" s="61">
        <v>0</v>
      </c>
      <c r="AE25" s="60">
        <v>0</v>
      </c>
      <c r="AG25" s="48"/>
    </row>
    <row r="26" spans="1:33" ht="18" customHeight="1" x14ac:dyDescent="0.2">
      <c r="A26" s="30" t="s">
        <v>310</v>
      </c>
      <c r="B26" s="30" t="s">
        <v>330</v>
      </c>
      <c r="C26" s="4">
        <v>0</v>
      </c>
      <c r="D26" s="4">
        <v>0</v>
      </c>
      <c r="F26" s="51" t="s">
        <v>331</v>
      </c>
      <c r="G26" s="16"/>
      <c r="H26" s="61">
        <v>0</v>
      </c>
      <c r="I26" s="61">
        <v>0</v>
      </c>
      <c r="J26" s="61">
        <v>0</v>
      </c>
      <c r="K26" s="86">
        <v>0</v>
      </c>
      <c r="L26" s="86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16"/>
      <c r="AA26" s="61">
        <v>0</v>
      </c>
      <c r="AB26" s="60">
        <v>0</v>
      </c>
      <c r="AC26" s="34"/>
      <c r="AD26" s="61">
        <v>0</v>
      </c>
      <c r="AE26" s="60">
        <v>0</v>
      </c>
    </row>
    <row r="27" spans="1:33" ht="18" customHeight="1" x14ac:dyDescent="0.2">
      <c r="A27" s="30" t="s">
        <v>310</v>
      </c>
      <c r="B27" s="30" t="s">
        <v>332</v>
      </c>
      <c r="C27" s="4">
        <v>0</v>
      </c>
      <c r="D27" s="4">
        <v>0</v>
      </c>
      <c r="F27" s="51" t="s">
        <v>333</v>
      </c>
      <c r="G27" s="16"/>
      <c r="H27" s="61">
        <v>0</v>
      </c>
      <c r="I27" s="61">
        <v>0</v>
      </c>
      <c r="J27" s="61">
        <v>0</v>
      </c>
      <c r="K27" s="86">
        <v>0</v>
      </c>
      <c r="L27" s="86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16"/>
      <c r="AA27" s="61">
        <v>0</v>
      </c>
      <c r="AB27" s="60">
        <v>0</v>
      </c>
      <c r="AC27" s="34"/>
      <c r="AD27" s="61">
        <v>0</v>
      </c>
      <c r="AE27" s="60">
        <v>0</v>
      </c>
    </row>
    <row r="28" spans="1:33" ht="18" customHeight="1" x14ac:dyDescent="0.2">
      <c r="A28" s="30" t="s">
        <v>310</v>
      </c>
      <c r="B28" s="30" t="s">
        <v>335</v>
      </c>
      <c r="C28" s="4">
        <v>0</v>
      </c>
      <c r="D28" s="4">
        <v>0</v>
      </c>
      <c r="F28" s="51" t="s">
        <v>336</v>
      </c>
      <c r="G28" s="16"/>
      <c r="H28" s="61">
        <v>0</v>
      </c>
      <c r="I28" s="61">
        <v>0</v>
      </c>
      <c r="J28" s="61">
        <v>0</v>
      </c>
      <c r="K28" s="86">
        <v>0</v>
      </c>
      <c r="L28" s="86">
        <v>0</v>
      </c>
      <c r="M28" s="61">
        <v>0</v>
      </c>
      <c r="N28" s="61">
        <v>0</v>
      </c>
      <c r="O28" s="61">
        <v>0</v>
      </c>
      <c r="P28" s="61">
        <v>0</v>
      </c>
      <c r="Q28" s="61">
        <v>0</v>
      </c>
      <c r="R28" s="61">
        <v>0</v>
      </c>
      <c r="S28" s="61">
        <v>0</v>
      </c>
      <c r="T28" s="61">
        <v>0</v>
      </c>
      <c r="U28" s="61">
        <v>0</v>
      </c>
      <c r="V28" s="61">
        <v>0</v>
      </c>
      <c r="W28" s="61">
        <v>0</v>
      </c>
      <c r="X28" s="61">
        <v>0</v>
      </c>
      <c r="Y28" s="61">
        <v>0</v>
      </c>
      <c r="Z28" s="16"/>
      <c r="AA28" s="61">
        <v>0</v>
      </c>
      <c r="AB28" s="60">
        <v>0</v>
      </c>
      <c r="AC28" s="34"/>
      <c r="AD28" s="61">
        <v>0</v>
      </c>
      <c r="AE28" s="60">
        <v>0</v>
      </c>
    </row>
    <row r="29" spans="1:33" ht="18" customHeight="1" x14ac:dyDescent="0.2">
      <c r="A29" s="30" t="s">
        <v>310</v>
      </c>
      <c r="B29" s="30" t="s">
        <v>337</v>
      </c>
      <c r="C29" s="4">
        <v>0</v>
      </c>
      <c r="D29" s="4">
        <v>0</v>
      </c>
      <c r="F29" s="51" t="s">
        <v>338</v>
      </c>
      <c r="G29" s="16"/>
      <c r="H29" s="61">
        <v>0</v>
      </c>
      <c r="I29" s="61">
        <v>0</v>
      </c>
      <c r="J29" s="61">
        <v>0</v>
      </c>
      <c r="K29" s="86">
        <v>0</v>
      </c>
      <c r="L29" s="86">
        <v>0</v>
      </c>
      <c r="M29" s="61">
        <v>0</v>
      </c>
      <c r="N29" s="61">
        <v>0</v>
      </c>
      <c r="O29" s="61">
        <v>0</v>
      </c>
      <c r="P29" s="61">
        <v>0</v>
      </c>
      <c r="Q29" s="61">
        <v>0</v>
      </c>
      <c r="R29" s="61">
        <v>0</v>
      </c>
      <c r="S29" s="61">
        <v>0</v>
      </c>
      <c r="T29" s="61">
        <v>0</v>
      </c>
      <c r="U29" s="61">
        <v>0</v>
      </c>
      <c r="V29" s="61">
        <v>0</v>
      </c>
      <c r="W29" s="61">
        <v>0</v>
      </c>
      <c r="X29" s="61">
        <v>0</v>
      </c>
      <c r="Y29" s="61">
        <v>0</v>
      </c>
      <c r="Z29" s="16"/>
      <c r="AA29" s="61">
        <v>0</v>
      </c>
      <c r="AB29" s="60">
        <v>0</v>
      </c>
      <c r="AC29" s="34"/>
      <c r="AD29" s="61">
        <v>0</v>
      </c>
      <c r="AE29" s="60">
        <v>0</v>
      </c>
    </row>
    <row r="30" spans="1:33" ht="18" customHeight="1" x14ac:dyDescent="0.2">
      <c r="A30" s="30" t="s">
        <v>310</v>
      </c>
      <c r="B30" s="30" t="s">
        <v>458</v>
      </c>
      <c r="C30" s="4">
        <v>0</v>
      </c>
      <c r="D30" s="4">
        <v>0</v>
      </c>
      <c r="F30" s="213" t="s">
        <v>443</v>
      </c>
      <c r="G30" s="16"/>
      <c r="H30" s="61">
        <v>0</v>
      </c>
      <c r="I30" s="61">
        <v>0</v>
      </c>
      <c r="J30" s="61">
        <v>0</v>
      </c>
      <c r="K30" s="86">
        <v>0</v>
      </c>
      <c r="L30" s="86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16"/>
      <c r="AA30" s="61">
        <v>0</v>
      </c>
      <c r="AB30" s="60">
        <v>0</v>
      </c>
      <c r="AC30" s="34"/>
      <c r="AD30" s="61">
        <v>0</v>
      </c>
      <c r="AE30" s="60">
        <v>0</v>
      </c>
    </row>
    <row r="31" spans="1:33" ht="18" customHeight="1" x14ac:dyDescent="0.2">
      <c r="A31" s="30" t="s">
        <v>310</v>
      </c>
      <c r="B31" s="30" t="s">
        <v>341</v>
      </c>
      <c r="C31" s="4">
        <v>0</v>
      </c>
      <c r="D31" s="4">
        <v>0</v>
      </c>
      <c r="F31" s="51" t="s">
        <v>342</v>
      </c>
      <c r="G31" s="16"/>
      <c r="H31" s="61">
        <v>0</v>
      </c>
      <c r="I31" s="61">
        <v>0</v>
      </c>
      <c r="J31" s="61">
        <v>0</v>
      </c>
      <c r="K31" s="86">
        <v>0</v>
      </c>
      <c r="L31" s="86">
        <v>0</v>
      </c>
      <c r="M31" s="61">
        <v>0</v>
      </c>
      <c r="N31" s="61">
        <v>0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16"/>
      <c r="AA31" s="61">
        <v>0</v>
      </c>
      <c r="AB31" s="60">
        <v>0</v>
      </c>
      <c r="AC31" s="34"/>
      <c r="AD31" s="61">
        <v>0</v>
      </c>
      <c r="AE31" s="60">
        <v>0</v>
      </c>
    </row>
    <row r="32" spans="1:33" ht="18" customHeight="1" x14ac:dyDescent="0.2">
      <c r="A32" s="32"/>
      <c r="B32" s="32"/>
      <c r="C32" s="4">
        <v>0</v>
      </c>
      <c r="D32" s="4">
        <v>0</v>
      </c>
      <c r="F32" s="51" t="s">
        <v>343</v>
      </c>
      <c r="G32" s="16"/>
      <c r="H32" s="61">
        <v>2.5757174171303632E-14</v>
      </c>
      <c r="I32" s="61">
        <v>1.2989609388114332E-13</v>
      </c>
      <c r="J32" s="61">
        <v>1.2989609388114332E-13</v>
      </c>
      <c r="K32" s="86">
        <v>0</v>
      </c>
      <c r="L32" s="86">
        <v>4.2632564145606011E-14</v>
      </c>
      <c r="M32" s="61">
        <v>3.1086244689504383E-15</v>
      </c>
      <c r="N32" s="61">
        <v>8.8817841970012523E-15</v>
      </c>
      <c r="O32" s="61">
        <v>-3.907985046680551E-14</v>
      </c>
      <c r="P32" s="61">
        <v>2.9087843245179101E-14</v>
      </c>
      <c r="Q32" s="61">
        <v>4.7961634663806763E-14</v>
      </c>
      <c r="R32" s="61">
        <v>-5.6843418860808015E-14</v>
      </c>
      <c r="S32" s="61">
        <v>-8.1712414612411521E-14</v>
      </c>
      <c r="T32" s="61">
        <v>7.815970093361102E-14</v>
      </c>
      <c r="U32" s="61">
        <v>3.1974423109204508E-14</v>
      </c>
      <c r="V32" s="61">
        <v>-3.5527136788005009E-14</v>
      </c>
      <c r="W32" s="61">
        <v>-5.6843418860808015E-14</v>
      </c>
      <c r="X32" s="61">
        <v>9.9475983006414026E-14</v>
      </c>
      <c r="Y32" s="61">
        <v>3.5305092183079978E-14</v>
      </c>
      <c r="Z32" s="16"/>
      <c r="AA32" s="61">
        <v>0</v>
      </c>
      <c r="AB32" s="60">
        <v>0</v>
      </c>
      <c r="AC32" s="34"/>
      <c r="AD32" s="61">
        <v>4.2632564145606011E-14</v>
      </c>
      <c r="AE32" s="60">
        <v>0</v>
      </c>
    </row>
    <row r="33" spans="1:33" s="7" customFormat="1" ht="18" customHeight="1" x14ac:dyDescent="0.2">
      <c r="A33" s="32"/>
      <c r="B33" s="32"/>
      <c r="C33" s="5">
        <v>0</v>
      </c>
      <c r="D33" s="5">
        <v>0</v>
      </c>
      <c r="F33" s="118" t="s">
        <v>373</v>
      </c>
      <c r="G33" s="16"/>
      <c r="H33" s="120">
        <v>2.5757174171303632E-14</v>
      </c>
      <c r="I33" s="120">
        <v>1.2989609388114332E-13</v>
      </c>
      <c r="J33" s="120">
        <v>1.2989609388114332E-13</v>
      </c>
      <c r="K33" s="121">
        <v>0</v>
      </c>
      <c r="L33" s="121">
        <v>4.2632564145606011E-14</v>
      </c>
      <c r="M33" s="120">
        <v>3.1086244689504383E-15</v>
      </c>
      <c r="N33" s="120">
        <v>8.8817841970012523E-15</v>
      </c>
      <c r="O33" s="120">
        <v>-3.907985046680551E-14</v>
      </c>
      <c r="P33" s="120">
        <v>2.9087843245179101E-14</v>
      </c>
      <c r="Q33" s="120">
        <v>4.7961634663806763E-14</v>
      </c>
      <c r="R33" s="120">
        <v>-5.6843418860808015E-14</v>
      </c>
      <c r="S33" s="120">
        <v>-8.1712414612411521E-14</v>
      </c>
      <c r="T33" s="120">
        <v>7.815970093361102E-14</v>
      </c>
      <c r="U33" s="120">
        <v>3.1974423109204508E-14</v>
      </c>
      <c r="V33" s="120">
        <v>-3.5527136788005009E-14</v>
      </c>
      <c r="W33" s="120">
        <v>-5.6843418860808015E-14</v>
      </c>
      <c r="X33" s="120">
        <v>9.9503738582029655E-14</v>
      </c>
      <c r="Y33" s="120">
        <v>3.5305092183079978E-14</v>
      </c>
      <c r="Z33" s="16"/>
      <c r="AA33" s="120">
        <v>0</v>
      </c>
      <c r="AB33" s="60">
        <v>0</v>
      </c>
      <c r="AC33" s="239"/>
      <c r="AD33" s="120">
        <v>4.2632564145606011E-14</v>
      </c>
      <c r="AE33" s="60">
        <v>0</v>
      </c>
    </row>
    <row r="34" spans="1:33" ht="8.25" customHeight="1" x14ac:dyDescent="0.2">
      <c r="A34" s="116"/>
      <c r="B34" s="116"/>
      <c r="C34" s="4"/>
      <c r="D34" s="4"/>
      <c r="F34" s="8"/>
      <c r="G34" s="16"/>
      <c r="K34" s="8"/>
      <c r="L34" s="8"/>
      <c r="Z34" s="16"/>
      <c r="AB34" s="8"/>
      <c r="AE34" s="8"/>
    </row>
    <row r="35" spans="1:33" ht="18" hidden="1" customHeight="1" outlineLevel="1" x14ac:dyDescent="0.2">
      <c r="A35" s="46" t="s">
        <v>303</v>
      </c>
      <c r="B35" s="46" t="s">
        <v>17</v>
      </c>
      <c r="C35" s="47">
        <v>0.99515151515151523</v>
      </c>
      <c r="D35" s="47">
        <v>2.1567106283941036E-2</v>
      </c>
      <c r="E35" s="31"/>
      <c r="F35" s="94" t="s">
        <v>346</v>
      </c>
      <c r="G35" s="16"/>
      <c r="H35" s="59">
        <v>48.326999999999998</v>
      </c>
      <c r="I35" s="59">
        <v>51.991999999999997</v>
      </c>
      <c r="J35" s="59">
        <v>51.991999999999997</v>
      </c>
      <c r="K35" s="59">
        <v>33</v>
      </c>
      <c r="L35" s="59">
        <v>64.45</v>
      </c>
      <c r="M35" s="59">
        <v>1.319</v>
      </c>
      <c r="N35" s="59">
        <v>3.3710000000000004</v>
      </c>
      <c r="O35" s="59">
        <v>0</v>
      </c>
      <c r="P35" s="59">
        <v>4.8470000000000004</v>
      </c>
      <c r="Q35" s="59">
        <v>5.0989999999999984</v>
      </c>
      <c r="R35" s="59">
        <v>11.349</v>
      </c>
      <c r="S35" s="59">
        <v>1.9420000000000002</v>
      </c>
      <c r="T35" s="59">
        <v>5.838000000000001</v>
      </c>
      <c r="U35" s="59">
        <v>11.616999999999997</v>
      </c>
      <c r="V35" s="59">
        <v>4.3580000000000041</v>
      </c>
      <c r="W35" s="59">
        <v>10.668999999999997</v>
      </c>
      <c r="X35" s="59">
        <v>5.4340000000000046</v>
      </c>
      <c r="Y35" s="59">
        <v>65.843000000000004</v>
      </c>
      <c r="Z35" s="16"/>
      <c r="AA35" s="59">
        <v>33</v>
      </c>
      <c r="AB35" s="63">
        <v>32.840000000000003</v>
      </c>
      <c r="AC35" s="31"/>
      <c r="AD35" s="59">
        <v>64.45</v>
      </c>
      <c r="AE35" s="63">
        <v>1.39</v>
      </c>
    </row>
    <row r="36" spans="1:33" ht="18" hidden="1" customHeight="1" outlineLevel="1" x14ac:dyDescent="0.2">
      <c r="A36" s="46" t="s">
        <v>301</v>
      </c>
      <c r="B36" s="46" t="s">
        <v>304</v>
      </c>
      <c r="C36" s="47">
        <v>1.0000425821836143</v>
      </c>
      <c r="D36" s="47">
        <v>1.0000425821836143</v>
      </c>
      <c r="E36" s="31"/>
      <c r="F36" s="94" t="s">
        <v>347</v>
      </c>
      <c r="G36" s="16"/>
      <c r="H36" s="59">
        <v>0</v>
      </c>
      <c r="I36" s="59">
        <v>0.442</v>
      </c>
      <c r="J36" s="59">
        <v>0.442</v>
      </c>
      <c r="K36" s="59">
        <v>0</v>
      </c>
      <c r="L36" s="59">
        <v>0</v>
      </c>
      <c r="M36" s="59">
        <v>0</v>
      </c>
      <c r="N36" s="59">
        <v>0</v>
      </c>
      <c r="O36" s="59">
        <v>7.2240000000000002</v>
      </c>
      <c r="P36" s="59">
        <v>0</v>
      </c>
      <c r="Q36" s="59">
        <v>0</v>
      </c>
      <c r="R36" s="59">
        <v>14.675000000000001</v>
      </c>
      <c r="S36" s="59">
        <v>1.5470000000000006</v>
      </c>
      <c r="T36" s="59">
        <v>2.6009999999999991</v>
      </c>
      <c r="U36" s="59">
        <v>1.8000000000000007</v>
      </c>
      <c r="V36" s="59">
        <v>-1.4480000000000004</v>
      </c>
      <c r="W36" s="59">
        <v>13.695</v>
      </c>
      <c r="X36" s="59">
        <v>6.8740000000000023</v>
      </c>
      <c r="Y36" s="59">
        <v>46.968000000000004</v>
      </c>
      <c r="Z36" s="16"/>
      <c r="AA36" s="59">
        <v>0</v>
      </c>
      <c r="AB36" s="63">
        <v>46.97</v>
      </c>
      <c r="AC36" s="31"/>
      <c r="AD36" s="59">
        <v>0</v>
      </c>
      <c r="AE36" s="63">
        <v>46.97</v>
      </c>
    </row>
    <row r="37" spans="1:33" ht="18" customHeight="1" collapsed="1" x14ac:dyDescent="0.2">
      <c r="A37" s="32"/>
      <c r="B37" s="32"/>
      <c r="C37" s="4">
        <v>2.4184848484848485</v>
      </c>
      <c r="D37" s="4">
        <v>0.75034910783553133</v>
      </c>
      <c r="F37" s="213" t="s">
        <v>436</v>
      </c>
      <c r="G37" s="16"/>
      <c r="H37" s="61">
        <v>48.326999999999998</v>
      </c>
      <c r="I37" s="61">
        <v>52.433999999999997</v>
      </c>
      <c r="J37" s="61">
        <v>52.433999999999997</v>
      </c>
      <c r="K37" s="86">
        <v>33</v>
      </c>
      <c r="L37" s="86">
        <v>64.45</v>
      </c>
      <c r="M37" s="61">
        <v>1.319</v>
      </c>
      <c r="N37" s="61">
        <v>3.3710000000000004</v>
      </c>
      <c r="O37" s="61">
        <v>7.2240000000000002</v>
      </c>
      <c r="P37" s="61">
        <v>4.8470000000000004</v>
      </c>
      <c r="Q37" s="61">
        <v>5.0989999999999984</v>
      </c>
      <c r="R37" s="61">
        <v>26.024000000000001</v>
      </c>
      <c r="S37" s="61">
        <v>3.4890000000000008</v>
      </c>
      <c r="T37" s="61">
        <v>8.4390000000000001</v>
      </c>
      <c r="U37" s="61">
        <v>13.416999999999998</v>
      </c>
      <c r="V37" s="61">
        <v>2.9100000000000037</v>
      </c>
      <c r="W37" s="61">
        <v>24.363999999999997</v>
      </c>
      <c r="X37" s="61">
        <v>12.308000000000007</v>
      </c>
      <c r="Y37" s="61">
        <v>112.81100000000001</v>
      </c>
      <c r="Z37" s="16"/>
      <c r="AA37" s="61">
        <v>33</v>
      </c>
      <c r="AB37" s="60">
        <v>79.81</v>
      </c>
      <c r="AC37" s="34"/>
      <c r="AD37" s="61">
        <v>64.45</v>
      </c>
      <c r="AE37" s="60">
        <v>48.36</v>
      </c>
      <c r="AG37" s="48"/>
    </row>
    <row r="38" spans="1:33" ht="18" hidden="1" customHeight="1" outlineLevel="1" x14ac:dyDescent="0.2">
      <c r="A38" s="46" t="s">
        <v>300</v>
      </c>
      <c r="B38" s="46" t="s">
        <v>17</v>
      </c>
      <c r="C38" s="47">
        <v>1</v>
      </c>
      <c r="D38" s="47">
        <v>1</v>
      </c>
      <c r="E38" s="31"/>
      <c r="F38" s="217" t="s">
        <v>437</v>
      </c>
      <c r="G38" s="16"/>
      <c r="H38" s="59">
        <v>0</v>
      </c>
      <c r="I38" s="59">
        <v>0</v>
      </c>
      <c r="J38" s="59">
        <v>0</v>
      </c>
      <c r="K38" s="59">
        <v>0</v>
      </c>
      <c r="L38" s="59">
        <v>0</v>
      </c>
      <c r="M38" s="59">
        <v>0.39</v>
      </c>
      <c r="N38" s="59">
        <v>0</v>
      </c>
      <c r="O38" s="59">
        <v>0</v>
      </c>
      <c r="P38" s="59">
        <v>0</v>
      </c>
      <c r="Q38" s="59">
        <v>0</v>
      </c>
      <c r="R38" s="59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0.39</v>
      </c>
      <c r="Z38" s="16"/>
      <c r="AA38" s="59">
        <v>0</v>
      </c>
      <c r="AB38" s="63">
        <v>0.39</v>
      </c>
      <c r="AC38" s="31"/>
      <c r="AD38" s="59">
        <v>0</v>
      </c>
      <c r="AE38" s="63">
        <v>0.39</v>
      </c>
    </row>
    <row r="39" spans="1:33" ht="18" hidden="1" customHeight="1" outlineLevel="1" x14ac:dyDescent="0.2">
      <c r="A39" s="46" t="s">
        <v>301</v>
      </c>
      <c r="B39" s="46" t="s">
        <v>302</v>
      </c>
      <c r="C39" s="47">
        <v>-1.0033444816053512</v>
      </c>
      <c r="D39" s="47">
        <v>-1.0033444816053512</v>
      </c>
      <c r="E39" s="31"/>
      <c r="F39" s="217" t="s">
        <v>438</v>
      </c>
      <c r="G39" s="16"/>
      <c r="H39" s="59">
        <v>0</v>
      </c>
      <c r="I39" s="59">
        <v>0</v>
      </c>
      <c r="J39" s="59">
        <v>0</v>
      </c>
      <c r="K39" s="59">
        <v>0</v>
      </c>
      <c r="L39" s="59">
        <v>0</v>
      </c>
      <c r="M39" s="59">
        <v>0</v>
      </c>
      <c r="N39" s="59">
        <v>0</v>
      </c>
      <c r="O39" s="59">
        <v>0</v>
      </c>
      <c r="P39" s="59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-0.29899999999999999</v>
      </c>
      <c r="X39" s="59">
        <v>0</v>
      </c>
      <c r="Y39" s="59">
        <v>-0.29899999999999999</v>
      </c>
      <c r="Z39" s="16"/>
      <c r="AA39" s="59">
        <v>0</v>
      </c>
      <c r="AB39" s="63">
        <v>-0.3</v>
      </c>
      <c r="AC39" s="31"/>
      <c r="AD39" s="59">
        <v>0</v>
      </c>
      <c r="AE39" s="63">
        <v>-0.3</v>
      </c>
    </row>
    <row r="40" spans="1:33" ht="18" customHeight="1" collapsed="1" x14ac:dyDescent="0.2">
      <c r="A40" s="32"/>
      <c r="B40" s="32"/>
      <c r="C40" s="4">
        <v>0.98901098901098872</v>
      </c>
      <c r="D40" s="4">
        <v>0.98901098901098872</v>
      </c>
      <c r="F40" s="213" t="s">
        <v>439</v>
      </c>
      <c r="G40" s="16"/>
      <c r="H40" s="61">
        <v>0</v>
      </c>
      <c r="I40" s="61">
        <v>0</v>
      </c>
      <c r="J40" s="61">
        <v>0</v>
      </c>
      <c r="K40" s="86">
        <v>0</v>
      </c>
      <c r="L40" s="86">
        <v>0</v>
      </c>
      <c r="M40" s="61">
        <v>0.39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-0.29899999999999999</v>
      </c>
      <c r="X40" s="61">
        <v>0</v>
      </c>
      <c r="Y40" s="61">
        <v>9.1000000000000025E-2</v>
      </c>
      <c r="Z40" s="16"/>
      <c r="AA40" s="61">
        <v>0</v>
      </c>
      <c r="AB40" s="60">
        <v>0.09</v>
      </c>
      <c r="AC40" s="34"/>
      <c r="AD40" s="61">
        <v>0</v>
      </c>
      <c r="AE40" s="60">
        <v>0.09</v>
      </c>
      <c r="AG40" s="48"/>
    </row>
    <row r="41" spans="1:33" ht="18" hidden="1" customHeight="1" outlineLevel="1" x14ac:dyDescent="0.2">
      <c r="A41" s="46" t="s">
        <v>309</v>
      </c>
      <c r="B41" s="46" t="s">
        <v>17</v>
      </c>
      <c r="C41" s="47">
        <v>0</v>
      </c>
      <c r="D41" s="47">
        <v>0</v>
      </c>
      <c r="E41" s="31"/>
      <c r="F41" s="217" t="s">
        <v>440</v>
      </c>
      <c r="G41" s="16"/>
      <c r="H41" s="59">
        <v>0</v>
      </c>
      <c r="I41" s="59">
        <v>0</v>
      </c>
      <c r="J41" s="59">
        <v>0</v>
      </c>
      <c r="K41" s="59">
        <v>0</v>
      </c>
      <c r="L41" s="59">
        <v>0</v>
      </c>
      <c r="M41" s="59">
        <v>0</v>
      </c>
      <c r="N41" s="59">
        <v>0</v>
      </c>
      <c r="O41" s="59">
        <v>0</v>
      </c>
      <c r="P41" s="59">
        <v>0</v>
      </c>
      <c r="Q41" s="59">
        <v>0</v>
      </c>
      <c r="R41" s="59">
        <v>0</v>
      </c>
      <c r="S41" s="59">
        <v>0</v>
      </c>
      <c r="T41" s="59">
        <v>0</v>
      </c>
      <c r="U41" s="59">
        <v>0</v>
      </c>
      <c r="V41" s="59">
        <v>0</v>
      </c>
      <c r="W41" s="59">
        <v>0</v>
      </c>
      <c r="X41" s="59">
        <v>0</v>
      </c>
      <c r="Y41" s="59">
        <v>0</v>
      </c>
      <c r="Z41" s="16"/>
      <c r="AA41" s="59">
        <v>0</v>
      </c>
      <c r="AB41" s="63">
        <v>0</v>
      </c>
      <c r="AC41" s="31"/>
      <c r="AD41" s="59">
        <v>0</v>
      </c>
      <c r="AE41" s="63">
        <v>0</v>
      </c>
    </row>
    <row r="42" spans="1:33" ht="18" hidden="1" customHeight="1" outlineLevel="1" x14ac:dyDescent="0.2">
      <c r="A42" s="46" t="s">
        <v>301</v>
      </c>
      <c r="B42" s="46" t="s">
        <v>308</v>
      </c>
      <c r="C42" s="47">
        <v>0</v>
      </c>
      <c r="D42" s="47">
        <v>0</v>
      </c>
      <c r="E42" s="31"/>
      <c r="F42" s="217" t="s">
        <v>441</v>
      </c>
      <c r="G42" s="16"/>
      <c r="H42" s="59">
        <v>0.57399999999999995</v>
      </c>
      <c r="I42" s="59">
        <v>0</v>
      </c>
      <c r="J42" s="59">
        <v>0</v>
      </c>
      <c r="K42" s="59">
        <v>0</v>
      </c>
      <c r="L42" s="59">
        <v>0</v>
      </c>
      <c r="M42" s="59">
        <v>0</v>
      </c>
      <c r="N42" s="59">
        <v>0</v>
      </c>
      <c r="O42" s="59">
        <v>0</v>
      </c>
      <c r="P42" s="59">
        <v>0</v>
      </c>
      <c r="Q42" s="59">
        <v>0</v>
      </c>
      <c r="R42" s="59">
        <v>0</v>
      </c>
      <c r="S42" s="59">
        <v>0</v>
      </c>
      <c r="T42" s="59">
        <v>0</v>
      </c>
      <c r="U42" s="59">
        <v>0</v>
      </c>
      <c r="V42" s="59">
        <v>0</v>
      </c>
      <c r="W42" s="59">
        <v>0</v>
      </c>
      <c r="X42" s="59">
        <v>0</v>
      </c>
      <c r="Y42" s="59">
        <v>0</v>
      </c>
      <c r="Z42" s="16"/>
      <c r="AA42" s="59">
        <v>0</v>
      </c>
      <c r="AB42" s="63">
        <v>0</v>
      </c>
      <c r="AC42" s="31"/>
      <c r="AD42" s="59">
        <v>0</v>
      </c>
      <c r="AE42" s="63">
        <v>0</v>
      </c>
    </row>
    <row r="43" spans="1:33" ht="18" customHeight="1" collapsed="1" x14ac:dyDescent="0.2">
      <c r="A43" s="32"/>
      <c r="B43" s="32"/>
      <c r="C43" s="4">
        <v>0</v>
      </c>
      <c r="D43" s="4">
        <v>0</v>
      </c>
      <c r="F43" s="213" t="s">
        <v>442</v>
      </c>
      <c r="G43" s="16"/>
      <c r="H43" s="61">
        <v>0.57399999999999995</v>
      </c>
      <c r="I43" s="61">
        <v>0</v>
      </c>
      <c r="J43" s="61">
        <v>0</v>
      </c>
      <c r="K43" s="86">
        <v>0</v>
      </c>
      <c r="L43" s="86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16"/>
      <c r="AA43" s="61">
        <v>0</v>
      </c>
      <c r="AB43" s="60">
        <v>0</v>
      </c>
      <c r="AC43" s="34"/>
      <c r="AD43" s="61">
        <v>0</v>
      </c>
      <c r="AE43" s="60">
        <v>0</v>
      </c>
      <c r="AG43" s="48"/>
    </row>
    <row r="44" spans="1:33" ht="18" hidden="1" customHeight="1" outlineLevel="1" x14ac:dyDescent="0.2">
      <c r="A44" s="212" t="s">
        <v>435</v>
      </c>
      <c r="B44" s="46" t="s">
        <v>17</v>
      </c>
      <c r="C44" s="47">
        <v>0</v>
      </c>
      <c r="D44" s="47">
        <v>0</v>
      </c>
      <c r="E44" s="31"/>
      <c r="F44" s="217" t="s">
        <v>433</v>
      </c>
      <c r="G44" s="16"/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  <c r="N44" s="59">
        <v>0</v>
      </c>
      <c r="O44" s="59">
        <v>0</v>
      </c>
      <c r="P44" s="59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16"/>
      <c r="AA44" s="59">
        <v>0</v>
      </c>
      <c r="AB44" s="63">
        <v>0</v>
      </c>
      <c r="AC44" s="31"/>
      <c r="AD44" s="59">
        <v>0</v>
      </c>
      <c r="AE44" s="63">
        <v>0</v>
      </c>
    </row>
    <row r="45" spans="1:33" ht="18" hidden="1" customHeight="1" outlineLevel="1" x14ac:dyDescent="0.2">
      <c r="A45" s="46" t="s">
        <v>301</v>
      </c>
      <c r="B45" s="212" t="s">
        <v>451</v>
      </c>
      <c r="C45" s="47">
        <v>0</v>
      </c>
      <c r="D45" s="47">
        <v>0</v>
      </c>
      <c r="E45" s="31"/>
      <c r="F45" s="217" t="s">
        <v>434</v>
      </c>
      <c r="G45" s="16"/>
      <c r="H45" s="59">
        <v>0</v>
      </c>
      <c r="I45" s="59">
        <v>0</v>
      </c>
      <c r="J45" s="59">
        <v>0</v>
      </c>
      <c r="K45" s="59">
        <v>0</v>
      </c>
      <c r="L45" s="59">
        <v>0</v>
      </c>
      <c r="M45" s="59">
        <v>0</v>
      </c>
      <c r="N45" s="59">
        <v>0</v>
      </c>
      <c r="O45" s="59">
        <v>0</v>
      </c>
      <c r="P45" s="59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16"/>
      <c r="AA45" s="59">
        <v>0</v>
      </c>
      <c r="AB45" s="63">
        <v>0</v>
      </c>
      <c r="AC45" s="31"/>
      <c r="AD45" s="59">
        <v>0</v>
      </c>
      <c r="AE45" s="63">
        <v>0</v>
      </c>
    </row>
    <row r="46" spans="1:33" ht="18" customHeight="1" collapsed="1" x14ac:dyDescent="0.2">
      <c r="A46" s="32"/>
      <c r="B46" s="32"/>
      <c r="C46" s="4">
        <v>0</v>
      </c>
      <c r="D46" s="4">
        <v>0</v>
      </c>
      <c r="F46" s="51" t="s">
        <v>432</v>
      </c>
      <c r="G46" s="16"/>
      <c r="H46" s="197">
        <v>0</v>
      </c>
      <c r="I46" s="197">
        <v>0</v>
      </c>
      <c r="J46" s="197">
        <v>0</v>
      </c>
      <c r="K46" s="86">
        <v>0</v>
      </c>
      <c r="L46" s="86">
        <v>0</v>
      </c>
      <c r="M46" s="197">
        <v>0</v>
      </c>
      <c r="N46" s="197">
        <v>0</v>
      </c>
      <c r="O46" s="197">
        <v>0</v>
      </c>
      <c r="P46" s="197">
        <v>0</v>
      </c>
      <c r="Q46" s="197">
        <v>0</v>
      </c>
      <c r="R46" s="197">
        <v>0</v>
      </c>
      <c r="S46" s="197">
        <v>0</v>
      </c>
      <c r="T46" s="197">
        <v>0</v>
      </c>
      <c r="U46" s="197">
        <v>0</v>
      </c>
      <c r="V46" s="197">
        <v>0</v>
      </c>
      <c r="W46" s="197">
        <v>0</v>
      </c>
      <c r="X46" s="197">
        <v>0</v>
      </c>
      <c r="Y46" s="197">
        <v>0</v>
      </c>
      <c r="Z46" s="16"/>
      <c r="AA46" s="197">
        <v>0</v>
      </c>
      <c r="AB46" s="60">
        <v>0</v>
      </c>
      <c r="AC46" s="34"/>
      <c r="AD46" s="197">
        <v>0</v>
      </c>
      <c r="AE46" s="60">
        <v>0</v>
      </c>
      <c r="AG46" s="48"/>
    </row>
    <row r="47" spans="1:33" ht="18" hidden="1" customHeight="1" outlineLevel="1" x14ac:dyDescent="0.2">
      <c r="A47" s="46" t="s">
        <v>306</v>
      </c>
      <c r="B47" s="46" t="s">
        <v>17</v>
      </c>
      <c r="C47" s="47">
        <v>0</v>
      </c>
      <c r="D47" s="47">
        <v>0</v>
      </c>
      <c r="E47" s="31"/>
      <c r="F47" s="94" t="s">
        <v>350</v>
      </c>
      <c r="G47" s="16"/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16"/>
      <c r="AA47" s="59">
        <v>0</v>
      </c>
      <c r="AB47" s="63">
        <v>0</v>
      </c>
      <c r="AC47" s="31"/>
      <c r="AD47" s="59">
        <v>0</v>
      </c>
      <c r="AE47" s="63">
        <v>0</v>
      </c>
    </row>
    <row r="48" spans="1:33" ht="18" hidden="1" customHeight="1" outlineLevel="1" x14ac:dyDescent="0.2">
      <c r="A48" s="46" t="s">
        <v>301</v>
      </c>
      <c r="B48" s="46" t="s">
        <v>307</v>
      </c>
      <c r="C48" s="47">
        <v>0</v>
      </c>
      <c r="D48" s="47">
        <v>0</v>
      </c>
      <c r="E48" s="31"/>
      <c r="F48" s="94" t="s">
        <v>351</v>
      </c>
      <c r="G48" s="16"/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16"/>
      <c r="AA48" s="59">
        <v>0</v>
      </c>
      <c r="AB48" s="63">
        <v>0</v>
      </c>
      <c r="AC48" s="31"/>
      <c r="AD48" s="59">
        <v>0</v>
      </c>
      <c r="AE48" s="63">
        <v>0</v>
      </c>
    </row>
    <row r="49" spans="1:33" ht="18" customHeight="1" collapsed="1" x14ac:dyDescent="0.2">
      <c r="A49" s="32"/>
      <c r="B49" s="32"/>
      <c r="C49" s="4">
        <v>0</v>
      </c>
      <c r="D49" s="4">
        <v>0</v>
      </c>
      <c r="F49" s="51" t="s">
        <v>325</v>
      </c>
      <c r="G49" s="16"/>
      <c r="H49" s="61">
        <v>0</v>
      </c>
      <c r="I49" s="61">
        <v>0</v>
      </c>
      <c r="J49" s="61">
        <v>0</v>
      </c>
      <c r="K49" s="86">
        <v>0</v>
      </c>
      <c r="L49" s="86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  <c r="R49" s="61">
        <v>0</v>
      </c>
      <c r="S49" s="61">
        <v>0</v>
      </c>
      <c r="T49" s="61">
        <v>0</v>
      </c>
      <c r="U49" s="61">
        <v>0</v>
      </c>
      <c r="V49" s="61">
        <v>0</v>
      </c>
      <c r="W49" s="61">
        <v>0</v>
      </c>
      <c r="X49" s="61">
        <v>0</v>
      </c>
      <c r="Y49" s="61">
        <v>0</v>
      </c>
      <c r="Z49" s="16"/>
      <c r="AA49" s="61">
        <v>0</v>
      </c>
      <c r="AB49" s="60">
        <v>0</v>
      </c>
      <c r="AC49" s="34"/>
      <c r="AD49" s="61">
        <v>0</v>
      </c>
      <c r="AE49" s="60">
        <v>0</v>
      </c>
      <c r="AG49" s="48"/>
    </row>
    <row r="50" spans="1:33" ht="18" hidden="1" customHeight="1" outlineLevel="1" x14ac:dyDescent="0.2">
      <c r="A50" s="46" t="s">
        <v>305</v>
      </c>
      <c r="B50" s="46" t="s">
        <v>17</v>
      </c>
      <c r="C50" s="47">
        <v>0</v>
      </c>
      <c r="D50" s="47">
        <v>0</v>
      </c>
      <c r="E50" s="31"/>
      <c r="F50" s="94" t="s">
        <v>353</v>
      </c>
      <c r="G50" s="16"/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0</v>
      </c>
      <c r="Z50" s="16"/>
      <c r="AA50" s="59">
        <v>0</v>
      </c>
      <c r="AB50" s="63">
        <v>0</v>
      </c>
      <c r="AC50" s="31"/>
      <c r="AD50" s="59">
        <v>0</v>
      </c>
      <c r="AE50" s="63">
        <v>0</v>
      </c>
    </row>
    <row r="51" spans="1:33" ht="18" hidden="1" customHeight="1" outlineLevel="1" x14ac:dyDescent="0.2">
      <c r="A51" s="46" t="s">
        <v>301</v>
      </c>
      <c r="B51" s="46" t="s">
        <v>352</v>
      </c>
      <c r="C51" s="47">
        <v>0</v>
      </c>
      <c r="D51" s="47">
        <v>0</v>
      </c>
      <c r="E51" s="31"/>
      <c r="F51" s="94" t="s">
        <v>354</v>
      </c>
      <c r="G51" s="16"/>
      <c r="H51" s="59">
        <v>0</v>
      </c>
      <c r="I51" s="59">
        <v>0</v>
      </c>
      <c r="J51" s="59">
        <v>0</v>
      </c>
      <c r="K51" s="59">
        <v>0</v>
      </c>
      <c r="L51" s="59">
        <v>0</v>
      </c>
      <c r="M51" s="59">
        <v>0</v>
      </c>
      <c r="N51" s="59">
        <v>0</v>
      </c>
      <c r="O51" s="59">
        <v>0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59">
        <v>0</v>
      </c>
      <c r="Y51" s="59">
        <v>0</v>
      </c>
      <c r="Z51" s="16"/>
      <c r="AA51" s="59">
        <v>0</v>
      </c>
      <c r="AB51" s="63">
        <v>0</v>
      </c>
      <c r="AC51" s="31"/>
      <c r="AD51" s="59">
        <v>0</v>
      </c>
      <c r="AE51" s="63">
        <v>0</v>
      </c>
    </row>
    <row r="52" spans="1:33" ht="18" hidden="1" customHeight="1" outlineLevel="1" x14ac:dyDescent="0.2">
      <c r="A52" s="46" t="s">
        <v>310</v>
      </c>
      <c r="B52" s="46" t="s">
        <v>334</v>
      </c>
      <c r="C52" s="47">
        <v>0</v>
      </c>
      <c r="D52" s="47">
        <v>0</v>
      </c>
      <c r="E52" s="31"/>
      <c r="F52" s="94" t="s">
        <v>355</v>
      </c>
      <c r="G52" s="16"/>
      <c r="H52" s="59">
        <v>0</v>
      </c>
      <c r="I52" s="59">
        <v>0</v>
      </c>
      <c r="J52" s="59">
        <v>0</v>
      </c>
      <c r="K52" s="59">
        <v>0</v>
      </c>
      <c r="L52" s="59">
        <v>0</v>
      </c>
      <c r="M52" s="59">
        <v>0</v>
      </c>
      <c r="N52" s="59">
        <v>0</v>
      </c>
      <c r="O52" s="59">
        <v>0</v>
      </c>
      <c r="P52" s="59">
        <v>0</v>
      </c>
      <c r="Q52" s="59">
        <v>0</v>
      </c>
      <c r="R52" s="59">
        <v>0</v>
      </c>
      <c r="S52" s="59">
        <v>0</v>
      </c>
      <c r="T52" s="59">
        <v>0</v>
      </c>
      <c r="U52" s="59">
        <v>0</v>
      </c>
      <c r="V52" s="59">
        <v>0</v>
      </c>
      <c r="W52" s="59">
        <v>0</v>
      </c>
      <c r="X52" s="59">
        <v>0</v>
      </c>
      <c r="Y52" s="59">
        <v>0</v>
      </c>
      <c r="Z52" s="16"/>
      <c r="AA52" s="59">
        <v>0</v>
      </c>
      <c r="AB52" s="60">
        <v>0</v>
      </c>
      <c r="AC52" s="31"/>
      <c r="AD52" s="59">
        <v>0</v>
      </c>
      <c r="AE52" s="60">
        <v>0</v>
      </c>
    </row>
    <row r="53" spans="1:33" ht="18" customHeight="1" collapsed="1" x14ac:dyDescent="0.2">
      <c r="A53" s="32"/>
      <c r="B53" s="32"/>
      <c r="C53" s="4">
        <v>0</v>
      </c>
      <c r="D53" s="4">
        <v>0</v>
      </c>
      <c r="F53" s="51" t="s">
        <v>363</v>
      </c>
      <c r="G53" s="16"/>
      <c r="H53" s="61">
        <v>0</v>
      </c>
      <c r="I53" s="61">
        <v>0</v>
      </c>
      <c r="J53" s="61">
        <v>0</v>
      </c>
      <c r="K53" s="86">
        <v>0</v>
      </c>
      <c r="L53" s="86">
        <v>0</v>
      </c>
      <c r="M53" s="61">
        <v>0</v>
      </c>
      <c r="N53" s="61">
        <v>0</v>
      </c>
      <c r="O53" s="61">
        <v>0</v>
      </c>
      <c r="P53" s="61">
        <v>0</v>
      </c>
      <c r="Q53" s="61">
        <v>0</v>
      </c>
      <c r="R53" s="61">
        <v>0</v>
      </c>
      <c r="S53" s="61">
        <v>0</v>
      </c>
      <c r="T53" s="61">
        <v>0</v>
      </c>
      <c r="U53" s="61">
        <v>0</v>
      </c>
      <c r="V53" s="61">
        <v>0</v>
      </c>
      <c r="W53" s="61">
        <v>0</v>
      </c>
      <c r="X53" s="61">
        <v>0</v>
      </c>
      <c r="Y53" s="61">
        <v>0</v>
      </c>
      <c r="Z53" s="16"/>
      <c r="AA53" s="61">
        <v>0</v>
      </c>
      <c r="AB53" s="60">
        <v>0</v>
      </c>
      <c r="AC53" s="34"/>
      <c r="AD53" s="61">
        <v>0</v>
      </c>
      <c r="AE53" s="60">
        <v>0</v>
      </c>
      <c r="AG53" s="48"/>
    </row>
    <row r="54" spans="1:33" ht="18" customHeight="1" x14ac:dyDescent="0.2">
      <c r="A54" s="30" t="s">
        <v>311</v>
      </c>
      <c r="B54" s="30" t="s">
        <v>17</v>
      </c>
      <c r="C54" s="4">
        <v>0</v>
      </c>
      <c r="D54" s="4">
        <v>0</v>
      </c>
      <c r="F54" s="51" t="s">
        <v>374</v>
      </c>
      <c r="G54" s="16"/>
      <c r="H54" s="61">
        <v>0</v>
      </c>
      <c r="I54" s="61">
        <v>0</v>
      </c>
      <c r="J54" s="61">
        <v>0</v>
      </c>
      <c r="K54" s="86">
        <v>0</v>
      </c>
      <c r="L54" s="86">
        <v>0</v>
      </c>
      <c r="M54" s="61">
        <v>0</v>
      </c>
      <c r="N54" s="61">
        <v>0</v>
      </c>
      <c r="O54" s="61">
        <v>0</v>
      </c>
      <c r="P54" s="61">
        <v>0</v>
      </c>
      <c r="Q54" s="61">
        <v>0</v>
      </c>
      <c r="R54" s="61">
        <v>0</v>
      </c>
      <c r="S54" s="61">
        <v>0</v>
      </c>
      <c r="T54" s="61">
        <v>0</v>
      </c>
      <c r="U54" s="61">
        <v>0</v>
      </c>
      <c r="V54" s="61">
        <v>0</v>
      </c>
      <c r="W54" s="61">
        <v>0</v>
      </c>
      <c r="X54" s="61">
        <v>0</v>
      </c>
      <c r="Y54" s="61">
        <v>0</v>
      </c>
      <c r="Z54" s="16"/>
      <c r="AA54" s="61">
        <v>0</v>
      </c>
      <c r="AB54" s="60">
        <v>0</v>
      </c>
      <c r="AD54" s="61">
        <v>0</v>
      </c>
      <c r="AE54" s="60">
        <v>0</v>
      </c>
    </row>
    <row r="55" spans="1:33" ht="18" customHeight="1" x14ac:dyDescent="0.2">
      <c r="A55" s="32"/>
      <c r="B55" s="32"/>
      <c r="C55" s="5">
        <v>2.4212121212121214</v>
      </c>
      <c r="D55" s="5">
        <v>0.75174553917765707</v>
      </c>
      <c r="F55" s="118" t="s">
        <v>375</v>
      </c>
      <c r="G55" s="16"/>
      <c r="H55" s="120">
        <v>48.900999999999996</v>
      </c>
      <c r="I55" s="120">
        <v>52.433999999999997</v>
      </c>
      <c r="J55" s="120">
        <v>52.433999999999997</v>
      </c>
      <c r="K55" s="121">
        <v>33</v>
      </c>
      <c r="L55" s="121">
        <v>64.45</v>
      </c>
      <c r="M55" s="120">
        <v>1.7090000000000001</v>
      </c>
      <c r="N55" s="120">
        <v>3.3710000000000004</v>
      </c>
      <c r="O55" s="120">
        <v>7.2240000000000002</v>
      </c>
      <c r="P55" s="120">
        <v>4.8470000000000004</v>
      </c>
      <c r="Q55" s="120">
        <v>5.0989999999999984</v>
      </c>
      <c r="R55" s="120">
        <v>26.024000000000001</v>
      </c>
      <c r="S55" s="120">
        <v>3.4890000000000008</v>
      </c>
      <c r="T55" s="120">
        <v>8.4390000000000001</v>
      </c>
      <c r="U55" s="120">
        <v>13.416999999999998</v>
      </c>
      <c r="V55" s="120">
        <v>2.9100000000000037</v>
      </c>
      <c r="W55" s="120">
        <v>24.064999999999998</v>
      </c>
      <c r="X55" s="120">
        <v>12.308000000000007</v>
      </c>
      <c r="Y55" s="120">
        <v>112.902</v>
      </c>
      <c r="Z55" s="16"/>
      <c r="AA55" s="120">
        <v>33</v>
      </c>
      <c r="AB55" s="60">
        <v>79.900000000000006</v>
      </c>
      <c r="AC55" s="253"/>
      <c r="AD55" s="120">
        <v>64.45</v>
      </c>
      <c r="AE55" s="60">
        <v>48.45</v>
      </c>
    </row>
    <row r="56" spans="1:33" ht="8.25" customHeight="1" x14ac:dyDescent="0.2">
      <c r="A56" s="116"/>
      <c r="F56" s="8"/>
      <c r="G56" s="16"/>
      <c r="K56" s="8"/>
      <c r="L56" s="8"/>
      <c r="Z56" s="16"/>
      <c r="AB56" s="8"/>
      <c r="AE56" s="8"/>
    </row>
    <row r="57" spans="1:33" ht="18" customHeight="1" x14ac:dyDescent="0.2">
      <c r="A57" s="30" t="s">
        <v>313</v>
      </c>
      <c r="B57" s="30" t="s">
        <v>17</v>
      </c>
      <c r="C57" s="4">
        <v>0.99790648988136765</v>
      </c>
      <c r="D57" s="4">
        <v>0.99790648988136765</v>
      </c>
      <c r="F57" s="51" t="s">
        <v>312</v>
      </c>
      <c r="G57" s="16"/>
      <c r="H57" s="61">
        <v>6.6749999999999998</v>
      </c>
      <c r="I57" s="61">
        <v>1.0509999999999999</v>
      </c>
      <c r="J57" s="61">
        <v>1.0509999999999999</v>
      </c>
      <c r="K57" s="86">
        <v>0</v>
      </c>
      <c r="L57" s="86">
        <v>0</v>
      </c>
      <c r="M57" s="61">
        <v>0</v>
      </c>
      <c r="N57" s="61">
        <v>0</v>
      </c>
      <c r="O57" s="61">
        <v>0</v>
      </c>
      <c r="P57" s="61">
        <v>1.4330000000000001</v>
      </c>
      <c r="Q57" s="61">
        <v>0</v>
      </c>
      <c r="R57" s="61">
        <v>0</v>
      </c>
      <c r="S57" s="61">
        <v>0</v>
      </c>
      <c r="T57" s="61">
        <v>0</v>
      </c>
      <c r="U57" s="61">
        <v>0</v>
      </c>
      <c r="V57" s="61">
        <v>0</v>
      </c>
      <c r="W57" s="61">
        <v>0</v>
      </c>
      <c r="X57" s="61">
        <v>0</v>
      </c>
      <c r="Y57" s="61">
        <v>1.4330000000000001</v>
      </c>
      <c r="Z57" s="16"/>
      <c r="AA57" s="61">
        <v>0</v>
      </c>
      <c r="AB57" s="60">
        <v>1.43</v>
      </c>
      <c r="AD57" s="61">
        <v>0</v>
      </c>
      <c r="AE57" s="60">
        <v>1.43</v>
      </c>
    </row>
    <row r="58" spans="1:33" ht="8.25" customHeight="1" x14ac:dyDescent="0.2">
      <c r="A58" s="116"/>
      <c r="F58" s="8"/>
      <c r="G58" s="16"/>
      <c r="K58" s="8"/>
      <c r="L58" s="8"/>
      <c r="Z58" s="16"/>
      <c r="AB58" s="8"/>
      <c r="AE58" s="8"/>
    </row>
    <row r="59" spans="1:33" s="7" customFormat="1" ht="18" customHeight="1" x14ac:dyDescent="0.2">
      <c r="A59" s="30" t="s">
        <v>299</v>
      </c>
      <c r="B59" s="30" t="s">
        <v>17</v>
      </c>
      <c r="C59" s="4">
        <v>-0.22552998182919445</v>
      </c>
      <c r="D59" s="4">
        <v>7.8619933358640176E-2</v>
      </c>
      <c r="E59" s="8"/>
      <c r="F59" s="45" t="s">
        <v>376</v>
      </c>
      <c r="G59" s="16"/>
      <c r="H59" s="62">
        <v>1873.335</v>
      </c>
      <c r="I59" s="62">
        <v>1385.3920000000001</v>
      </c>
      <c r="J59" s="62">
        <v>1385.3920000000001</v>
      </c>
      <c r="K59" s="108">
        <v>1651</v>
      </c>
      <c r="L59" s="108">
        <v>1185.45</v>
      </c>
      <c r="M59" s="62">
        <v>89.082999999999998</v>
      </c>
      <c r="N59" s="62">
        <v>96.34</v>
      </c>
      <c r="O59" s="62">
        <v>88.692999999999984</v>
      </c>
      <c r="P59" s="62">
        <v>109.51100000000002</v>
      </c>
      <c r="Q59" s="62">
        <v>72.819000000000017</v>
      </c>
      <c r="R59" s="62">
        <v>140.97899999999993</v>
      </c>
      <c r="S59" s="62">
        <v>76.235000000000014</v>
      </c>
      <c r="T59" s="62">
        <v>75.557999999999993</v>
      </c>
      <c r="U59" s="62">
        <v>88.90300000000002</v>
      </c>
      <c r="V59" s="62">
        <v>107.37400000000002</v>
      </c>
      <c r="W59" s="62">
        <v>150.86199999999997</v>
      </c>
      <c r="X59" s="62">
        <v>182.29700000000003</v>
      </c>
      <c r="Y59" s="62">
        <v>1278.654</v>
      </c>
      <c r="Z59" s="16"/>
      <c r="AA59" s="62">
        <v>1651</v>
      </c>
      <c r="AB59" s="60">
        <v>-372.35</v>
      </c>
      <c r="AD59" s="62">
        <v>1185.45</v>
      </c>
      <c r="AE59" s="60">
        <v>93.2</v>
      </c>
    </row>
    <row r="60" spans="1:33" ht="8.25" customHeight="1" x14ac:dyDescent="0.2">
      <c r="A60" s="116"/>
      <c r="F60" s="8"/>
      <c r="G60" s="16"/>
      <c r="K60" s="8"/>
      <c r="L60" s="8"/>
      <c r="Z60" s="16"/>
      <c r="AB60" s="8"/>
      <c r="AE60" s="8"/>
    </row>
    <row r="61" spans="1:33" ht="18" customHeight="1" x14ac:dyDescent="0.2">
      <c r="A61" s="35"/>
      <c r="B61" s="32"/>
      <c r="C61" s="4">
        <v>4.7818803643756652E-2</v>
      </c>
      <c r="D61" s="4">
        <v>1.0067423298936767E-2</v>
      </c>
      <c r="F61" s="95" t="s">
        <v>234</v>
      </c>
      <c r="G61" s="16"/>
      <c r="H61" s="64">
        <v>17006.062000000002</v>
      </c>
      <c r="I61" s="64">
        <v>17575.045000000002</v>
      </c>
      <c r="J61" s="64">
        <v>17575.045000000002</v>
      </c>
      <c r="K61" s="89">
        <v>17355.934000000001</v>
      </c>
      <c r="L61" s="89">
        <v>18004.607</v>
      </c>
      <c r="M61" s="64">
        <v>1385.4490000000001</v>
      </c>
      <c r="N61" s="64">
        <v>1374.885</v>
      </c>
      <c r="O61" s="64">
        <v>1426.3459999999998</v>
      </c>
      <c r="P61" s="64">
        <v>1528.7600000000002</v>
      </c>
      <c r="Q61" s="64">
        <v>1629.895</v>
      </c>
      <c r="R61" s="64">
        <v>1567.425999999999</v>
      </c>
      <c r="S61" s="64">
        <v>1464.3679999999999</v>
      </c>
      <c r="T61" s="64">
        <v>1514.9270000000006</v>
      </c>
      <c r="U61" s="64">
        <v>1516.1020000000005</v>
      </c>
      <c r="V61" s="64">
        <v>1575.5329999999997</v>
      </c>
      <c r="W61" s="64">
        <v>1581.8090000000002</v>
      </c>
      <c r="X61" s="64">
        <v>1620.3700000000003</v>
      </c>
      <c r="Y61" s="64">
        <v>18185.87</v>
      </c>
      <c r="Z61" s="16"/>
      <c r="AA61" s="64">
        <v>17355.934000000001</v>
      </c>
      <c r="AB61" s="60">
        <v>829.94</v>
      </c>
      <c r="AD61" s="64">
        <v>18004.607</v>
      </c>
      <c r="AE61" s="60">
        <v>181.26</v>
      </c>
    </row>
    <row r="62" spans="1:33" ht="6.95" customHeight="1" x14ac:dyDescent="0.2">
      <c r="C62" s="4"/>
      <c r="D62" s="4"/>
      <c r="F62" s="96"/>
      <c r="G62" s="16"/>
      <c r="H62" s="16"/>
      <c r="I62" s="16"/>
      <c r="J62" s="16"/>
      <c r="K62" s="85"/>
      <c r="L62" s="85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20"/>
      <c r="AD62" s="16"/>
      <c r="AE62" s="20"/>
    </row>
    <row r="63" spans="1:33" s="36" customFormat="1" ht="18" customHeight="1" x14ac:dyDescent="0.2">
      <c r="A63" s="30" t="s">
        <v>21</v>
      </c>
      <c r="B63" s="30" t="s">
        <v>17</v>
      </c>
      <c r="C63" s="4">
        <v>-5.492</v>
      </c>
      <c r="D63" s="4">
        <v>7.5176470588235289E-2</v>
      </c>
      <c r="E63" s="8"/>
      <c r="F63" s="104" t="s">
        <v>24</v>
      </c>
      <c r="G63" s="16"/>
      <c r="H63" s="65">
        <v>-162.60599999999999</v>
      </c>
      <c r="I63" s="65">
        <v>-191.47300000000001</v>
      </c>
      <c r="J63" s="65">
        <v>-191.47300000000001</v>
      </c>
      <c r="K63" s="65">
        <v>35</v>
      </c>
      <c r="L63" s="65">
        <v>-170</v>
      </c>
      <c r="M63" s="65">
        <v>-62.267000000000003</v>
      </c>
      <c r="N63" s="65">
        <v>-74.477000000000004</v>
      </c>
      <c r="O63" s="65">
        <v>1.5209999999999866</v>
      </c>
      <c r="P63" s="65">
        <v>-7.8529999999999802</v>
      </c>
      <c r="Q63" s="65">
        <v>-3.8100000000000023</v>
      </c>
      <c r="R63" s="65">
        <v>27.085999999999999</v>
      </c>
      <c r="S63" s="65">
        <v>-54.430999999999997</v>
      </c>
      <c r="T63" s="65">
        <v>-112.34699999999998</v>
      </c>
      <c r="U63" s="65">
        <v>5.6009999999999991</v>
      </c>
      <c r="V63" s="65">
        <v>59.10299999999998</v>
      </c>
      <c r="W63" s="65">
        <v>29.020999999999987</v>
      </c>
      <c r="X63" s="65">
        <v>35.629999999999995</v>
      </c>
      <c r="Y63" s="65">
        <v>-157.22300000000001</v>
      </c>
      <c r="AA63" s="65">
        <v>35</v>
      </c>
      <c r="AB63" s="60">
        <v>-192.22</v>
      </c>
      <c r="AD63" s="65">
        <v>-170</v>
      </c>
      <c r="AE63" s="60">
        <v>12.78</v>
      </c>
    </row>
    <row r="64" spans="1:33" s="36" customFormat="1" ht="18" hidden="1" customHeight="1" outlineLevel="1" x14ac:dyDescent="0.2">
      <c r="A64" s="30" t="s">
        <v>119</v>
      </c>
      <c r="B64" s="30" t="s">
        <v>17</v>
      </c>
      <c r="C64" s="4">
        <v>-0.32057142857142856</v>
      </c>
      <c r="D64" s="4">
        <v>0.1531977276892065</v>
      </c>
      <c r="E64" s="8"/>
      <c r="F64" s="38" t="s">
        <v>121</v>
      </c>
      <c r="G64" s="16"/>
      <c r="H64" s="66">
        <v>-21.995000000000001</v>
      </c>
      <c r="I64" s="66">
        <v>-33.406999999999996</v>
      </c>
      <c r="J64" s="66">
        <v>-33.406999999999996</v>
      </c>
      <c r="K64" s="66">
        <v>-35</v>
      </c>
      <c r="L64" s="66">
        <v>-54.57</v>
      </c>
      <c r="M64" s="66">
        <v>1.0549999999999999</v>
      </c>
      <c r="N64" s="66">
        <v>-0.97499999999999998</v>
      </c>
      <c r="O64" s="66">
        <v>-40.4</v>
      </c>
      <c r="P64" s="66">
        <v>0</v>
      </c>
      <c r="Q64" s="66">
        <v>-6.7000000000000028</v>
      </c>
      <c r="R64" s="66">
        <v>-6.9499999999999957</v>
      </c>
      <c r="S64" s="66">
        <v>0</v>
      </c>
      <c r="T64" s="66">
        <v>2.5549999999999997</v>
      </c>
      <c r="U64" s="66">
        <v>4.2250000000000014</v>
      </c>
      <c r="V64" s="66">
        <v>0</v>
      </c>
      <c r="W64" s="66">
        <v>0.97499999999999432</v>
      </c>
      <c r="X64" s="66">
        <v>0</v>
      </c>
      <c r="Y64" s="66">
        <v>-46.215000000000003</v>
      </c>
      <c r="Z64" s="34"/>
      <c r="AA64" s="66">
        <v>-35</v>
      </c>
      <c r="AB64" s="60">
        <v>-11.22</v>
      </c>
      <c r="AC64" s="34"/>
      <c r="AD64" s="66">
        <v>-54.57</v>
      </c>
      <c r="AE64" s="60">
        <v>8.36</v>
      </c>
    </row>
    <row r="65" spans="1:31" s="36" customFormat="1" ht="18" hidden="1" customHeight="1" outlineLevel="1" x14ac:dyDescent="0.2">
      <c r="A65" s="30" t="s">
        <v>120</v>
      </c>
      <c r="B65" s="30" t="s">
        <v>17</v>
      </c>
      <c r="C65" s="4">
        <v>1.0000136800777026</v>
      </c>
      <c r="D65" s="4">
        <v>-3.6255767963085037E-2</v>
      </c>
      <c r="E65" s="8"/>
      <c r="F65" s="38" t="s">
        <v>122</v>
      </c>
      <c r="G65" s="16"/>
      <c r="H65" s="66">
        <v>-3.4359999999999999</v>
      </c>
      <c r="I65" s="66">
        <v>27.873000000000001</v>
      </c>
      <c r="J65" s="66">
        <v>27.873000000000001</v>
      </c>
      <c r="K65" s="66">
        <v>0</v>
      </c>
      <c r="L65" s="66">
        <v>75.849999999999994</v>
      </c>
      <c r="M65" s="66">
        <v>0.88700000000000001</v>
      </c>
      <c r="N65" s="66">
        <v>6.0530000000000008</v>
      </c>
      <c r="O65" s="66">
        <v>5.0549999999999979</v>
      </c>
      <c r="P65" s="66">
        <v>22.519000000000005</v>
      </c>
      <c r="Q65" s="66">
        <v>42.338999999999992</v>
      </c>
      <c r="R65" s="66">
        <v>19.39200000000001</v>
      </c>
      <c r="S65" s="66">
        <v>0.51399999999999579</v>
      </c>
      <c r="T65" s="66">
        <v>1.9200000000000017</v>
      </c>
      <c r="U65" s="66">
        <v>-0.9129999999999967</v>
      </c>
      <c r="V65" s="66">
        <v>-9.1640000000000015</v>
      </c>
      <c r="W65" s="66">
        <v>-16.460000000000008</v>
      </c>
      <c r="X65" s="66">
        <v>0.95700000000000784</v>
      </c>
      <c r="Y65" s="66">
        <v>73.099000000000004</v>
      </c>
      <c r="Z65" s="34"/>
      <c r="AA65" s="66">
        <v>0</v>
      </c>
      <c r="AB65" s="60">
        <v>73.099999999999994</v>
      </c>
      <c r="AC65" s="34"/>
      <c r="AD65" s="66">
        <v>75.849999999999994</v>
      </c>
      <c r="AE65" s="60">
        <v>-2.75</v>
      </c>
    </row>
    <row r="66" spans="1:31" s="36" customFormat="1" ht="18" customHeight="1" collapsed="1" x14ac:dyDescent="0.2">
      <c r="A66" s="35"/>
      <c r="B66" s="35"/>
      <c r="C66" s="4">
        <v>1.768</v>
      </c>
      <c r="D66" s="4">
        <v>0.26315789473684215</v>
      </c>
      <c r="E66" s="8"/>
      <c r="F66" s="104" t="s">
        <v>0</v>
      </c>
      <c r="G66" s="16"/>
      <c r="H66" s="65">
        <v>-25.431000000000001</v>
      </c>
      <c r="I66" s="65">
        <v>-5.5339999999999954</v>
      </c>
      <c r="J66" s="65">
        <v>-5.5339999999999954</v>
      </c>
      <c r="K66" s="65">
        <v>-35</v>
      </c>
      <c r="L66" s="65">
        <v>21.279999999999994</v>
      </c>
      <c r="M66" s="65">
        <v>1.9419999999999999</v>
      </c>
      <c r="N66" s="65">
        <v>5.0780000000000012</v>
      </c>
      <c r="O66" s="65">
        <v>-35.344999999999999</v>
      </c>
      <c r="P66" s="65">
        <v>22.519000000000005</v>
      </c>
      <c r="Q66" s="65">
        <v>35.638999999999989</v>
      </c>
      <c r="R66" s="65">
        <v>12.442000000000014</v>
      </c>
      <c r="S66" s="65">
        <v>0.51399999999999579</v>
      </c>
      <c r="T66" s="65">
        <v>4.4750000000000014</v>
      </c>
      <c r="U66" s="65">
        <v>3.3120000000000047</v>
      </c>
      <c r="V66" s="65">
        <v>-9.1640000000000015</v>
      </c>
      <c r="W66" s="65">
        <v>-15.485000000000014</v>
      </c>
      <c r="X66" s="65">
        <v>0.95700000000000784</v>
      </c>
      <c r="Y66" s="65">
        <v>26.884</v>
      </c>
      <c r="AA66" s="65">
        <v>-35</v>
      </c>
      <c r="AB66" s="60">
        <v>61.88</v>
      </c>
      <c r="AD66" s="65">
        <v>21.279999999999994</v>
      </c>
      <c r="AE66" s="60">
        <v>5.6</v>
      </c>
    </row>
    <row r="67" spans="1:31" s="36" customFormat="1" ht="18" hidden="1" customHeight="1" outlineLevel="1" x14ac:dyDescent="0.2">
      <c r="A67" s="30" t="s">
        <v>131</v>
      </c>
      <c r="B67" s="30" t="s">
        <v>17</v>
      </c>
      <c r="C67" s="4">
        <v>0</v>
      </c>
      <c r="D67" s="4">
        <v>0</v>
      </c>
      <c r="E67" s="8"/>
      <c r="F67" s="38" t="s">
        <v>132</v>
      </c>
      <c r="G67" s="16"/>
      <c r="H67" s="66">
        <v>0</v>
      </c>
      <c r="I67" s="66">
        <v>0</v>
      </c>
      <c r="J67" s="66">
        <v>0</v>
      </c>
      <c r="K67" s="86">
        <v>0</v>
      </c>
      <c r="L67" s="8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34"/>
      <c r="AA67" s="66">
        <v>0</v>
      </c>
      <c r="AB67" s="60">
        <v>0</v>
      </c>
      <c r="AC67" s="34"/>
      <c r="AD67" s="66">
        <v>0</v>
      </c>
      <c r="AE67" s="60">
        <v>0</v>
      </c>
    </row>
    <row r="68" spans="1:31" s="36" customFormat="1" ht="18" hidden="1" customHeight="1" outlineLevel="1" x14ac:dyDescent="0.2">
      <c r="A68" s="30" t="s">
        <v>134</v>
      </c>
      <c r="B68" s="30" t="s">
        <v>17</v>
      </c>
      <c r="C68" s="4">
        <v>0</v>
      </c>
      <c r="D68" s="4">
        <v>0</v>
      </c>
      <c r="E68" s="8"/>
      <c r="F68" s="38" t="s">
        <v>133</v>
      </c>
      <c r="G68" s="16"/>
      <c r="H68" s="66">
        <v>0</v>
      </c>
      <c r="I68" s="66">
        <v>0</v>
      </c>
      <c r="J68" s="66">
        <v>0</v>
      </c>
      <c r="K68" s="86">
        <v>0</v>
      </c>
      <c r="L68" s="8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34"/>
      <c r="AA68" s="66">
        <v>0</v>
      </c>
      <c r="AB68" s="60">
        <v>0</v>
      </c>
      <c r="AC68" s="34"/>
      <c r="AD68" s="66">
        <v>0</v>
      </c>
      <c r="AE68" s="60">
        <v>0</v>
      </c>
    </row>
    <row r="69" spans="1:31" s="36" customFormat="1" ht="18" hidden="1" customHeight="1" outlineLevel="1" x14ac:dyDescent="0.2">
      <c r="A69" s="30" t="s">
        <v>135</v>
      </c>
      <c r="B69" s="30" t="s">
        <v>17</v>
      </c>
      <c r="C69" s="4">
        <v>0</v>
      </c>
      <c r="D69" s="4">
        <v>0</v>
      </c>
      <c r="E69" s="8"/>
      <c r="F69" s="38" t="s">
        <v>136</v>
      </c>
      <c r="G69" s="16"/>
      <c r="H69" s="66">
        <v>0</v>
      </c>
      <c r="I69" s="66">
        <v>37</v>
      </c>
      <c r="J69" s="66">
        <v>37</v>
      </c>
      <c r="K69" s="86">
        <v>0</v>
      </c>
      <c r="L69" s="8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34"/>
      <c r="AA69" s="66">
        <v>0</v>
      </c>
      <c r="AB69" s="60">
        <v>0</v>
      </c>
      <c r="AC69" s="34"/>
      <c r="AD69" s="66">
        <v>0</v>
      </c>
      <c r="AE69" s="60">
        <v>0</v>
      </c>
    </row>
    <row r="70" spans="1:31" s="36" customFormat="1" ht="18" hidden="1" customHeight="1" outlineLevel="1" x14ac:dyDescent="0.2">
      <c r="A70" s="30" t="s">
        <v>137</v>
      </c>
      <c r="B70" s="30" t="s">
        <v>17</v>
      </c>
      <c r="C70" s="4">
        <v>1.0034602076124568</v>
      </c>
      <c r="D70" s="4">
        <v>1.0034602076124568</v>
      </c>
      <c r="E70" s="8"/>
      <c r="F70" s="38" t="s">
        <v>138</v>
      </c>
      <c r="G70" s="16"/>
      <c r="H70" s="66">
        <v>0</v>
      </c>
      <c r="I70" s="66">
        <v>0</v>
      </c>
      <c r="J70" s="66">
        <v>0</v>
      </c>
      <c r="K70" s="86">
        <v>0</v>
      </c>
      <c r="L70" s="86">
        <v>0</v>
      </c>
      <c r="M70" s="66">
        <v>0</v>
      </c>
      <c r="N70" s="66">
        <v>0</v>
      </c>
      <c r="O70" s="66">
        <v>8.3000000000000004E-2</v>
      </c>
      <c r="P70" s="66">
        <v>0</v>
      </c>
      <c r="Q70" s="66">
        <v>0</v>
      </c>
      <c r="R70" s="66">
        <v>0.16499999999999998</v>
      </c>
      <c r="S70" s="66">
        <v>0</v>
      </c>
      <c r="T70" s="66">
        <v>0</v>
      </c>
      <c r="U70" s="66">
        <v>0</v>
      </c>
      <c r="V70" s="66">
        <v>8.2000000000000017E-2</v>
      </c>
      <c r="W70" s="66">
        <v>0.24799999999999994</v>
      </c>
      <c r="X70" s="66">
        <v>0</v>
      </c>
      <c r="Y70" s="66">
        <v>0.57799999999999996</v>
      </c>
      <c r="Z70" s="34"/>
      <c r="AA70" s="66">
        <v>0</v>
      </c>
      <c r="AB70" s="60">
        <v>0.57999999999999996</v>
      </c>
      <c r="AC70" s="34"/>
      <c r="AD70" s="66">
        <v>0</v>
      </c>
      <c r="AE70" s="60">
        <v>0.57999999999999996</v>
      </c>
    </row>
    <row r="71" spans="1:31" s="37" customFormat="1" ht="18" customHeight="1" collapsed="1" x14ac:dyDescent="0.2">
      <c r="A71" s="35"/>
      <c r="B71" s="35"/>
      <c r="C71" s="4">
        <v>1.0034602076124568</v>
      </c>
      <c r="D71" s="4">
        <v>1.0034602076124568</v>
      </c>
      <c r="E71" s="8"/>
      <c r="F71" s="105" t="s">
        <v>274</v>
      </c>
      <c r="G71" s="16"/>
      <c r="H71" s="67">
        <v>0</v>
      </c>
      <c r="I71" s="67">
        <v>37</v>
      </c>
      <c r="J71" s="67">
        <v>37</v>
      </c>
      <c r="K71" s="67">
        <v>0</v>
      </c>
      <c r="L71" s="67">
        <v>0</v>
      </c>
      <c r="M71" s="67">
        <v>0</v>
      </c>
      <c r="N71" s="67">
        <v>0</v>
      </c>
      <c r="O71" s="67">
        <v>8.3000000000000004E-2</v>
      </c>
      <c r="P71" s="67">
        <v>0</v>
      </c>
      <c r="Q71" s="67">
        <v>0</v>
      </c>
      <c r="R71" s="67">
        <v>0.16499999999999998</v>
      </c>
      <c r="S71" s="67">
        <v>0</v>
      </c>
      <c r="T71" s="67">
        <v>0</v>
      </c>
      <c r="U71" s="67">
        <v>0</v>
      </c>
      <c r="V71" s="67">
        <v>8.2000000000000017E-2</v>
      </c>
      <c r="W71" s="67">
        <v>0.24799999999999994</v>
      </c>
      <c r="X71" s="67">
        <v>0</v>
      </c>
      <c r="Y71" s="67">
        <v>0.57799999999999996</v>
      </c>
      <c r="AA71" s="67">
        <v>0</v>
      </c>
      <c r="AB71" s="60">
        <v>0.57999999999999996</v>
      </c>
      <c r="AD71" s="67">
        <v>0</v>
      </c>
      <c r="AE71" s="60">
        <v>0.57999999999999996</v>
      </c>
    </row>
    <row r="72" spans="1:31" ht="6.95" customHeight="1" x14ac:dyDescent="0.2">
      <c r="C72" s="4"/>
      <c r="D72" s="4"/>
      <c r="F72" s="96"/>
      <c r="G72" s="16"/>
      <c r="H72" s="16"/>
      <c r="I72" s="16"/>
      <c r="J72" s="16"/>
      <c r="K72" s="85"/>
      <c r="L72" s="8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AA72" s="16"/>
      <c r="AB72" s="20"/>
      <c r="AD72" s="16"/>
      <c r="AE72" s="20"/>
    </row>
    <row r="73" spans="1:31" s="7" customFormat="1" ht="18" customHeight="1" x14ac:dyDescent="0.2">
      <c r="A73" s="276" t="s">
        <v>299</v>
      </c>
      <c r="B73" s="276" t="s">
        <v>17</v>
      </c>
      <c r="C73" s="252">
        <v>4.0341821995866077E-2</v>
      </c>
      <c r="D73" s="252">
        <v>1.1213108595501306E-2</v>
      </c>
      <c r="E73" s="253"/>
      <c r="F73" s="285" t="s">
        <v>448</v>
      </c>
      <c r="G73" s="16"/>
      <c r="H73" s="62">
        <v>16818.025000000001</v>
      </c>
      <c r="I73" s="62">
        <v>17415.038</v>
      </c>
      <c r="J73" s="62">
        <v>17415.038</v>
      </c>
      <c r="K73" s="108">
        <v>17355.934000000001</v>
      </c>
      <c r="L73" s="108">
        <v>17855.886999999999</v>
      </c>
      <c r="M73" s="62">
        <v>1325.124</v>
      </c>
      <c r="N73" s="62">
        <v>1305.4859999999999</v>
      </c>
      <c r="O73" s="62">
        <v>1392.6049999999998</v>
      </c>
      <c r="P73" s="62">
        <v>1543.4260000000002</v>
      </c>
      <c r="Q73" s="62">
        <v>1661.7239999999999</v>
      </c>
      <c r="R73" s="62">
        <v>1607.118999999999</v>
      </c>
      <c r="S73" s="62">
        <v>1410.4509999999998</v>
      </c>
      <c r="T73" s="62">
        <v>1407.0550000000005</v>
      </c>
      <c r="U73" s="62">
        <v>1525.0150000000003</v>
      </c>
      <c r="V73" s="62">
        <v>1625.5539999999999</v>
      </c>
      <c r="W73" s="62">
        <v>1595.5930000000003</v>
      </c>
      <c r="X73" s="62">
        <v>1656.9570000000006</v>
      </c>
      <c r="Y73" s="62">
        <v>18056.108999999997</v>
      </c>
      <c r="Z73" s="16"/>
      <c r="AA73" s="62">
        <v>17355.934000000001</v>
      </c>
      <c r="AB73" s="256">
        <v>700.17</v>
      </c>
      <c r="AD73" s="62">
        <v>17855.886999999999</v>
      </c>
      <c r="AE73" s="256">
        <v>200.22</v>
      </c>
    </row>
    <row r="74" spans="1:31" s="253" customFormat="1" ht="8.25" customHeight="1" x14ac:dyDescent="0.2">
      <c r="A74" s="116"/>
      <c r="G74" s="16"/>
      <c r="Z74" s="16"/>
    </row>
    <row r="75" spans="1:31" ht="18" customHeight="1" x14ac:dyDescent="0.2">
      <c r="A75" s="30" t="s">
        <v>206</v>
      </c>
      <c r="B75" s="30" t="s">
        <v>38</v>
      </c>
      <c r="C75" s="4">
        <v>-4.53659319958961E-2</v>
      </c>
      <c r="D75" s="4">
        <v>3.0892994407188491E-2</v>
      </c>
      <c r="F75" s="106" t="s">
        <v>377</v>
      </c>
      <c r="H75" s="61">
        <v>-2690.4659999999999</v>
      </c>
      <c r="I75" s="61">
        <v>-2132.386</v>
      </c>
      <c r="J75" s="61">
        <v>-2132.386</v>
      </c>
      <c r="K75" s="86">
        <v>-2098.491</v>
      </c>
      <c r="L75" s="86">
        <v>-2263.62</v>
      </c>
      <c r="M75" s="61">
        <v>-188.85300000000001</v>
      </c>
      <c r="N75" s="61">
        <v>-208.471</v>
      </c>
      <c r="O75" s="61">
        <v>-228.74200000000002</v>
      </c>
      <c r="P75" s="61">
        <v>-171.22899999999993</v>
      </c>
      <c r="Q75" s="61">
        <v>-157.37</v>
      </c>
      <c r="R75" s="61">
        <v>-198.64200000000005</v>
      </c>
      <c r="S75" s="61">
        <v>-133.84300000000007</v>
      </c>
      <c r="T75" s="61">
        <v>-146.07600000000002</v>
      </c>
      <c r="U75" s="61">
        <v>-176.26299999999992</v>
      </c>
      <c r="V75" s="61">
        <v>-217.04600000000005</v>
      </c>
      <c r="W75" s="61">
        <v>-208.58699999999999</v>
      </c>
      <c r="X75" s="61">
        <v>-158.56499999999983</v>
      </c>
      <c r="Y75" s="61">
        <v>-2193.6869999999999</v>
      </c>
      <c r="AA75" s="61">
        <v>-2098.491</v>
      </c>
      <c r="AB75" s="60">
        <v>-95.2</v>
      </c>
      <c r="AD75" s="61">
        <v>-2263.62</v>
      </c>
      <c r="AE75" s="60">
        <v>69.930000000000007</v>
      </c>
    </row>
    <row r="76" spans="1:31" ht="18" customHeight="1" x14ac:dyDescent="0.2">
      <c r="A76" s="30" t="s">
        <v>42</v>
      </c>
      <c r="B76" s="30" t="s">
        <v>17</v>
      </c>
      <c r="C76" s="4">
        <v>0</v>
      </c>
      <c r="D76" s="4">
        <v>0</v>
      </c>
      <c r="F76" s="106" t="s">
        <v>207</v>
      </c>
      <c r="H76" s="61">
        <v>0</v>
      </c>
      <c r="I76" s="61">
        <v>0</v>
      </c>
      <c r="J76" s="61">
        <v>0</v>
      </c>
      <c r="K76" s="86">
        <v>0</v>
      </c>
      <c r="L76" s="86">
        <v>0</v>
      </c>
      <c r="M76" s="61">
        <v>0</v>
      </c>
      <c r="N76" s="61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AA76" s="61">
        <v>0</v>
      </c>
      <c r="AB76" s="60">
        <v>0</v>
      </c>
      <c r="AD76" s="61">
        <v>0</v>
      </c>
      <c r="AE76" s="60">
        <v>0</v>
      </c>
    </row>
    <row r="77" spans="1:31" ht="18" customHeight="1" collapsed="1" x14ac:dyDescent="0.2">
      <c r="A77" s="35"/>
      <c r="B77" s="35"/>
      <c r="C77" s="4">
        <v>-4.53659319958961E-2</v>
      </c>
      <c r="D77" s="4">
        <v>3.0892994407188491E-2</v>
      </c>
      <c r="F77" s="45" t="s">
        <v>41</v>
      </c>
      <c r="H77" s="62">
        <v>-2690.4659999999999</v>
      </c>
      <c r="I77" s="62">
        <v>-2132.386</v>
      </c>
      <c r="J77" s="62">
        <v>-2132.386</v>
      </c>
      <c r="K77" s="108">
        <v>-2098.491</v>
      </c>
      <c r="L77" s="108">
        <v>-2263.62</v>
      </c>
      <c r="M77" s="62">
        <v>-188.85300000000001</v>
      </c>
      <c r="N77" s="62">
        <v>-208.471</v>
      </c>
      <c r="O77" s="62">
        <v>-228.74200000000002</v>
      </c>
      <c r="P77" s="62">
        <v>-171.22899999999993</v>
      </c>
      <c r="Q77" s="62">
        <v>-157.37</v>
      </c>
      <c r="R77" s="62">
        <v>-198.64200000000005</v>
      </c>
      <c r="S77" s="62">
        <v>-133.84300000000007</v>
      </c>
      <c r="T77" s="62">
        <v>-146.07600000000002</v>
      </c>
      <c r="U77" s="62">
        <v>-176.26299999999992</v>
      </c>
      <c r="V77" s="62">
        <v>-217.04600000000005</v>
      </c>
      <c r="W77" s="62">
        <v>-208.58699999999999</v>
      </c>
      <c r="X77" s="62">
        <v>-158.56499999999983</v>
      </c>
      <c r="Y77" s="62">
        <v>-2193.6869999999999</v>
      </c>
      <c r="AA77" s="62">
        <v>-2098.491</v>
      </c>
      <c r="AB77" s="60">
        <v>-95.2</v>
      </c>
      <c r="AD77" s="62">
        <v>-2263.62</v>
      </c>
      <c r="AE77" s="60">
        <v>69.930000000000007</v>
      </c>
    </row>
    <row r="78" spans="1:31" ht="12.95" customHeight="1" x14ac:dyDescent="0.2">
      <c r="A78" s="35"/>
      <c r="B78" s="35"/>
      <c r="C78" s="4"/>
      <c r="D78" s="4"/>
      <c r="F78" s="39" t="s">
        <v>227</v>
      </c>
      <c r="H78" s="56">
        <v>0.17779122031343061</v>
      </c>
      <c r="I78" s="56">
        <v>0.13171289094336983</v>
      </c>
      <c r="J78" s="56">
        <v>0.13171289094336983</v>
      </c>
      <c r="K78" s="109">
        <v>0.13361985475392638</v>
      </c>
      <c r="L78" s="109">
        <v>0.1345858178266604</v>
      </c>
      <c r="M78" s="56">
        <v>0.145678766644605</v>
      </c>
      <c r="N78" s="56">
        <v>0.163053314509853</v>
      </c>
      <c r="O78" s="56">
        <v>0.17100249466789966</v>
      </c>
      <c r="P78" s="56">
        <v>0.12064761010929016</v>
      </c>
      <c r="Q78" s="56">
        <v>0.10106764217032441</v>
      </c>
      <c r="R78" s="56">
        <v>0.13925648832378631</v>
      </c>
      <c r="S78" s="56">
        <v>9.6419435313475077E-2</v>
      </c>
      <c r="T78" s="56">
        <v>0.10148613732823206</v>
      </c>
      <c r="U78" s="56">
        <v>0.12350274909105165</v>
      </c>
      <c r="V78" s="56">
        <v>0.14783548648341224</v>
      </c>
      <c r="W78" s="56">
        <v>0.14576850155875792</v>
      </c>
      <c r="X78" s="56">
        <v>0.11026213551050597</v>
      </c>
      <c r="Y78" s="56">
        <v>0.1297485641633726</v>
      </c>
      <c r="AA78" s="56">
        <v>0.13361985475392638</v>
      </c>
      <c r="AB78" s="57"/>
      <c r="AD78" s="56">
        <v>0.1345858178266604</v>
      </c>
      <c r="AE78" s="57"/>
    </row>
    <row r="79" spans="1:31" ht="18" customHeight="1" x14ac:dyDescent="0.2">
      <c r="A79" s="30" t="s">
        <v>39</v>
      </c>
      <c r="B79" s="30" t="s">
        <v>17</v>
      </c>
      <c r="C79" s="4">
        <v>-1</v>
      </c>
      <c r="D79" s="4">
        <v>-1</v>
      </c>
      <c r="F79" s="45" t="s">
        <v>40</v>
      </c>
      <c r="H79" s="62">
        <v>0</v>
      </c>
      <c r="I79" s="62">
        <v>0.06</v>
      </c>
      <c r="J79" s="62">
        <v>0.06</v>
      </c>
      <c r="K79" s="108">
        <v>0</v>
      </c>
      <c r="L79" s="108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-0.06</v>
      </c>
      <c r="U79" s="62">
        <v>0</v>
      </c>
      <c r="V79" s="62">
        <v>0</v>
      </c>
      <c r="W79" s="62">
        <v>0</v>
      </c>
      <c r="X79" s="62">
        <v>0</v>
      </c>
      <c r="Y79" s="62">
        <v>-0.06</v>
      </c>
      <c r="AA79" s="62">
        <v>0</v>
      </c>
      <c r="AB79" s="60">
        <v>-0.06</v>
      </c>
      <c r="AD79" s="62">
        <v>0</v>
      </c>
      <c r="AE79" s="60">
        <v>-0.06</v>
      </c>
    </row>
    <row r="80" spans="1:31" ht="12.95" customHeight="1" x14ac:dyDescent="0.2">
      <c r="A80" s="35"/>
      <c r="B80" s="35"/>
      <c r="C80" s="4"/>
      <c r="D80" s="4"/>
      <c r="F80" s="39" t="s">
        <v>228</v>
      </c>
      <c r="H80" s="56">
        <v>0</v>
      </c>
      <c r="I80" s="56">
        <v>0</v>
      </c>
      <c r="J80" s="56">
        <v>0</v>
      </c>
      <c r="K80" s="109">
        <v>0</v>
      </c>
      <c r="L80" s="109">
        <v>0</v>
      </c>
      <c r="M80" s="56">
        <v>0</v>
      </c>
      <c r="N80" s="56">
        <v>0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AA80" s="56">
        <v>0</v>
      </c>
      <c r="AB80" s="57"/>
      <c r="AD80" s="56">
        <v>0</v>
      </c>
      <c r="AE80" s="57"/>
    </row>
    <row r="81" spans="1:31" ht="18" hidden="1" customHeight="1" outlineLevel="1" x14ac:dyDescent="0.2">
      <c r="A81" s="30" t="s">
        <v>209</v>
      </c>
      <c r="B81" s="30" t="s">
        <v>17</v>
      </c>
      <c r="C81" s="4">
        <v>0</v>
      </c>
      <c r="D81" s="4">
        <v>0</v>
      </c>
      <c r="F81" s="106" t="s">
        <v>210</v>
      </c>
      <c r="H81" s="61">
        <v>0</v>
      </c>
      <c r="I81" s="61">
        <v>0</v>
      </c>
      <c r="J81" s="61">
        <v>0</v>
      </c>
      <c r="K81" s="86">
        <v>0</v>
      </c>
      <c r="L81" s="86">
        <v>0</v>
      </c>
      <c r="M81" s="61">
        <v>0</v>
      </c>
      <c r="N81" s="61">
        <v>0</v>
      </c>
      <c r="O81" s="61">
        <v>0</v>
      </c>
      <c r="P81" s="61">
        <v>0</v>
      </c>
      <c r="Q81" s="61">
        <v>0</v>
      </c>
      <c r="R81" s="61">
        <v>0</v>
      </c>
      <c r="S81" s="61">
        <v>0</v>
      </c>
      <c r="T81" s="61">
        <v>0</v>
      </c>
      <c r="U81" s="61">
        <v>0</v>
      </c>
      <c r="V81" s="61">
        <v>0</v>
      </c>
      <c r="W81" s="61">
        <v>0</v>
      </c>
      <c r="X81" s="61">
        <v>0</v>
      </c>
      <c r="Y81" s="61">
        <v>0</v>
      </c>
      <c r="AA81" s="61">
        <v>0</v>
      </c>
      <c r="AB81" s="60">
        <v>0</v>
      </c>
      <c r="AD81" s="61">
        <v>0</v>
      </c>
      <c r="AE81" s="60">
        <v>0</v>
      </c>
    </row>
    <row r="82" spans="1:31" ht="18" hidden="1" customHeight="1" outlineLevel="1" x14ac:dyDescent="0.2">
      <c r="A82" s="30" t="s">
        <v>206</v>
      </c>
      <c r="B82" s="30" t="s">
        <v>205</v>
      </c>
      <c r="C82" s="4">
        <v>0.26514954780748889</v>
      </c>
      <c r="D82" s="4">
        <v>2.2272859360271031E-2</v>
      </c>
      <c r="F82" s="106" t="s">
        <v>208</v>
      </c>
      <c r="H82" s="61">
        <v>-587.50199999999995</v>
      </c>
      <c r="I82" s="61">
        <v>-585.52099999999996</v>
      </c>
      <c r="J82" s="61">
        <v>-585.52099999999996</v>
      </c>
      <c r="K82" s="86">
        <v>-750.89700000000005</v>
      </c>
      <c r="L82" s="86">
        <v>-564.36400000000003</v>
      </c>
      <c r="M82" s="61">
        <v>-34.64</v>
      </c>
      <c r="N82" s="61">
        <v>-36.307999999999993</v>
      </c>
      <c r="O82" s="61">
        <v>-40.691000000000003</v>
      </c>
      <c r="P82" s="61">
        <v>-53.625000000000014</v>
      </c>
      <c r="Q82" s="61">
        <v>-45.86699999999999</v>
      </c>
      <c r="R82" s="61">
        <v>-53.202000000000027</v>
      </c>
      <c r="S82" s="61">
        <v>-39.722999999999956</v>
      </c>
      <c r="T82" s="61">
        <v>-33.88900000000001</v>
      </c>
      <c r="U82" s="61">
        <v>-57.150000000000034</v>
      </c>
      <c r="V82" s="61">
        <v>-59.578999999999951</v>
      </c>
      <c r="W82" s="61">
        <v>-48.770000000000039</v>
      </c>
      <c r="X82" s="61">
        <v>-48.350999999999942</v>
      </c>
      <c r="Y82" s="61">
        <v>-551.79499999999996</v>
      </c>
      <c r="AA82" s="61">
        <v>-750.89700000000005</v>
      </c>
      <c r="AB82" s="60">
        <v>199.1</v>
      </c>
      <c r="AD82" s="61">
        <v>-564.36400000000003</v>
      </c>
      <c r="AE82" s="60">
        <v>12.57</v>
      </c>
    </row>
    <row r="83" spans="1:31" ht="18" customHeight="1" collapsed="1" x14ac:dyDescent="0.2">
      <c r="A83" s="35"/>
      <c r="B83" s="35"/>
      <c r="C83" s="4">
        <v>0.26514954780748889</v>
      </c>
      <c r="D83" s="4">
        <v>2.2272859360271031E-2</v>
      </c>
      <c r="F83" s="45" t="s">
        <v>314</v>
      </c>
      <c r="H83" s="62">
        <v>-587.50199999999995</v>
      </c>
      <c r="I83" s="62">
        <v>-585.52099999999996</v>
      </c>
      <c r="J83" s="62">
        <v>-585.52099999999996</v>
      </c>
      <c r="K83" s="108">
        <v>-750.89700000000005</v>
      </c>
      <c r="L83" s="108">
        <v>-564.36400000000003</v>
      </c>
      <c r="M83" s="62">
        <v>-34.64</v>
      </c>
      <c r="N83" s="62">
        <v>-36.307999999999993</v>
      </c>
      <c r="O83" s="62">
        <v>-40.691000000000003</v>
      </c>
      <c r="P83" s="62">
        <v>-53.625000000000014</v>
      </c>
      <c r="Q83" s="62">
        <v>-45.86699999999999</v>
      </c>
      <c r="R83" s="62">
        <v>-53.202000000000027</v>
      </c>
      <c r="S83" s="62">
        <v>-39.722999999999956</v>
      </c>
      <c r="T83" s="62">
        <v>-33.88900000000001</v>
      </c>
      <c r="U83" s="62">
        <v>-57.150000000000034</v>
      </c>
      <c r="V83" s="62">
        <v>-59.578999999999951</v>
      </c>
      <c r="W83" s="62">
        <v>-48.770000000000039</v>
      </c>
      <c r="X83" s="62">
        <v>-48.350999999999942</v>
      </c>
      <c r="Y83" s="62">
        <v>-551.79499999999996</v>
      </c>
      <c r="AA83" s="62">
        <v>-750.89700000000005</v>
      </c>
      <c r="AB83" s="60">
        <v>199.1</v>
      </c>
      <c r="AD83" s="62">
        <v>-564.36400000000003</v>
      </c>
      <c r="AE83" s="60">
        <v>12.57</v>
      </c>
    </row>
    <row r="84" spans="1:31" ht="12.95" customHeight="1" x14ac:dyDescent="0.2">
      <c r="A84" s="35"/>
      <c r="B84" s="35"/>
      <c r="C84" s="4"/>
      <c r="D84" s="4"/>
      <c r="F84" s="39" t="s">
        <v>222</v>
      </c>
      <c r="H84" s="56">
        <v>0.3136128882447613</v>
      </c>
      <c r="I84" s="56">
        <v>0.42263922413295296</v>
      </c>
      <c r="J84" s="56">
        <v>0.42263922413295296</v>
      </c>
      <c r="K84" s="109">
        <v>0.45481344639612359</v>
      </c>
      <c r="L84" s="109">
        <v>0.47607575182420181</v>
      </c>
      <c r="M84" s="56">
        <v>0.3888508469629447</v>
      </c>
      <c r="N84" s="56">
        <v>0.37687357276313049</v>
      </c>
      <c r="O84" s="56">
        <v>0.45878479699638086</v>
      </c>
      <c r="P84" s="56">
        <v>0.48967683611691976</v>
      </c>
      <c r="Q84" s="56">
        <v>0.62987681786346938</v>
      </c>
      <c r="R84" s="56">
        <v>0.37737535377609471</v>
      </c>
      <c r="S84" s="56">
        <v>0.52105988063225483</v>
      </c>
      <c r="T84" s="56">
        <v>0.44851637152915658</v>
      </c>
      <c r="U84" s="56">
        <v>0.64283544987233299</v>
      </c>
      <c r="V84" s="56">
        <v>0.55487361931193713</v>
      </c>
      <c r="W84" s="56">
        <v>0.32327557635454951</v>
      </c>
      <c r="X84" s="56">
        <v>0.26523201149772041</v>
      </c>
      <c r="Y84" s="56">
        <v>0.43154363885773633</v>
      </c>
      <c r="AA84" s="56">
        <v>0.45481344639612359</v>
      </c>
      <c r="AB84" s="57"/>
      <c r="AD84" s="56">
        <v>0.47607575182420181</v>
      </c>
      <c r="AE84" s="57"/>
    </row>
    <row r="85" spans="1:31" ht="18" hidden="1" customHeight="1" outlineLevel="2" x14ac:dyDescent="0.2">
      <c r="A85" s="33" t="s">
        <v>43</v>
      </c>
      <c r="B85" s="33" t="s">
        <v>17</v>
      </c>
      <c r="C85" s="4"/>
      <c r="D85" s="4"/>
      <c r="F85" s="38" t="s">
        <v>44</v>
      </c>
      <c r="H85" s="66">
        <v>0</v>
      </c>
      <c r="I85" s="66">
        <v>0</v>
      </c>
      <c r="J85" s="66">
        <v>0</v>
      </c>
      <c r="K85" s="86"/>
      <c r="L85" s="86"/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AA85" s="70"/>
      <c r="AB85" s="71"/>
      <c r="AD85" s="70"/>
      <c r="AE85" s="71"/>
    </row>
    <row r="86" spans="1:31" ht="18" hidden="1" customHeight="1" outlineLevel="2" x14ac:dyDescent="0.2">
      <c r="A86" s="33" t="s">
        <v>43</v>
      </c>
      <c r="B86" s="33" t="s">
        <v>17</v>
      </c>
      <c r="C86" s="4"/>
      <c r="D86" s="4"/>
      <c r="F86" s="38" t="s">
        <v>45</v>
      </c>
      <c r="H86" s="66">
        <v>0</v>
      </c>
      <c r="I86" s="66">
        <v>0</v>
      </c>
      <c r="J86" s="66">
        <v>0</v>
      </c>
      <c r="K86" s="86"/>
      <c r="L86" s="86"/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AA86" s="70"/>
      <c r="AB86" s="71"/>
      <c r="AD86" s="70"/>
      <c r="AE86" s="71"/>
    </row>
    <row r="87" spans="1:31" ht="18" hidden="1" customHeight="1" outlineLevel="2" x14ac:dyDescent="0.2">
      <c r="A87" s="33" t="s">
        <v>46</v>
      </c>
      <c r="B87" s="33" t="s">
        <v>17</v>
      </c>
      <c r="C87" s="4">
        <v>-0.99700149925037485</v>
      </c>
      <c r="D87" s="4">
        <v>-0.99700149925037485</v>
      </c>
      <c r="F87" s="38" t="s">
        <v>47</v>
      </c>
      <c r="H87" s="66">
        <v>-39.939</v>
      </c>
      <c r="I87" s="66">
        <v>-6.532</v>
      </c>
      <c r="J87" s="66">
        <v>-6.532</v>
      </c>
      <c r="K87" s="86">
        <v>0</v>
      </c>
      <c r="L87" s="8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-62.798999999999999</v>
      </c>
      <c r="T87" s="66">
        <v>62.798999999999999</v>
      </c>
      <c r="U87" s="66">
        <v>-1.3340000000000001</v>
      </c>
      <c r="V87" s="66">
        <v>0</v>
      </c>
      <c r="W87" s="66">
        <v>0</v>
      </c>
      <c r="X87" s="66">
        <v>0</v>
      </c>
      <c r="Y87" s="66">
        <v>-1.3340000000000001</v>
      </c>
      <c r="AA87" s="66">
        <v>0</v>
      </c>
      <c r="AB87" s="65">
        <v>-1.33</v>
      </c>
      <c r="AD87" s="66">
        <v>0</v>
      </c>
      <c r="AE87" s="65">
        <v>-1.33</v>
      </c>
    </row>
    <row r="88" spans="1:31" ht="18" hidden="1" customHeight="1" outlineLevel="1" x14ac:dyDescent="0.2">
      <c r="A88" s="35"/>
      <c r="B88" s="35"/>
      <c r="C88" s="4">
        <v>-0.99700149925037485</v>
      </c>
      <c r="D88" s="4">
        <v>-0.99700149925037485</v>
      </c>
      <c r="F88" s="106" t="s">
        <v>48</v>
      </c>
      <c r="H88" s="61">
        <v>-39.939</v>
      </c>
      <c r="I88" s="61">
        <v>-6.532</v>
      </c>
      <c r="J88" s="61">
        <v>-6.532</v>
      </c>
      <c r="K88" s="86">
        <v>0</v>
      </c>
      <c r="L88" s="86">
        <v>0</v>
      </c>
      <c r="M88" s="61">
        <v>0</v>
      </c>
      <c r="N88" s="61">
        <v>0</v>
      </c>
      <c r="O88" s="61">
        <v>0</v>
      </c>
      <c r="P88" s="61">
        <v>0</v>
      </c>
      <c r="Q88" s="61">
        <v>0</v>
      </c>
      <c r="R88" s="61">
        <v>0</v>
      </c>
      <c r="S88" s="61">
        <v>-62.798999999999999</v>
      </c>
      <c r="T88" s="61">
        <v>62.798999999999999</v>
      </c>
      <c r="U88" s="61">
        <v>-1.3340000000000001</v>
      </c>
      <c r="V88" s="61">
        <v>0</v>
      </c>
      <c r="W88" s="61">
        <v>0</v>
      </c>
      <c r="X88" s="61">
        <v>0</v>
      </c>
      <c r="Y88" s="61">
        <v>-1.3340000000000001</v>
      </c>
      <c r="AA88" s="61">
        <v>0</v>
      </c>
      <c r="AB88" s="60">
        <v>-1.33</v>
      </c>
      <c r="AD88" s="61">
        <v>0</v>
      </c>
      <c r="AE88" s="60">
        <v>-1.33</v>
      </c>
    </row>
    <row r="89" spans="1:31" ht="18" hidden="1" customHeight="1" outlineLevel="1" x14ac:dyDescent="0.2">
      <c r="A89" s="30" t="s">
        <v>50</v>
      </c>
      <c r="B89" s="30" t="s">
        <v>17</v>
      </c>
      <c r="C89" s="4">
        <v>-0.99904168663152837</v>
      </c>
      <c r="D89" s="4">
        <v>-0.99904168663152837</v>
      </c>
      <c r="F89" s="106" t="s">
        <v>52</v>
      </c>
      <c r="H89" s="61">
        <v>-0.16300000000000001</v>
      </c>
      <c r="I89" s="61">
        <v>-1.0289999999999999</v>
      </c>
      <c r="J89" s="61">
        <v>-1.0289999999999999</v>
      </c>
      <c r="K89" s="86">
        <v>0</v>
      </c>
      <c r="L89" s="86">
        <v>0</v>
      </c>
      <c r="M89" s="61">
        <v>0</v>
      </c>
      <c r="N89" s="61">
        <v>0</v>
      </c>
      <c r="O89" s="61">
        <v>0</v>
      </c>
      <c r="P89" s="61">
        <v>0</v>
      </c>
      <c r="Q89" s="61">
        <v>0</v>
      </c>
      <c r="R89" s="61">
        <v>0</v>
      </c>
      <c r="S89" s="61">
        <v>0</v>
      </c>
      <c r="T89" s="61">
        <v>-1.258</v>
      </c>
      <c r="U89" s="61">
        <v>-2.0419999999999998</v>
      </c>
      <c r="V89" s="61">
        <v>-0.12000000000000011</v>
      </c>
      <c r="W89" s="61">
        <v>-5.400000000000027E-2</v>
      </c>
      <c r="X89" s="61">
        <v>-0.70000000000000018</v>
      </c>
      <c r="Y89" s="61">
        <v>-4.1740000000000004</v>
      </c>
      <c r="AA89" s="61">
        <v>0</v>
      </c>
      <c r="AB89" s="60">
        <v>-4.17</v>
      </c>
      <c r="AD89" s="61">
        <v>0</v>
      </c>
      <c r="AE89" s="60">
        <v>-4.17</v>
      </c>
    </row>
    <row r="90" spans="1:31" ht="18" hidden="1" customHeight="1" outlineLevel="1" x14ac:dyDescent="0.2">
      <c r="A90" s="30" t="s">
        <v>49</v>
      </c>
      <c r="B90" s="30" t="s">
        <v>17</v>
      </c>
      <c r="C90" s="4">
        <v>0</v>
      </c>
      <c r="D90" s="4">
        <v>0</v>
      </c>
      <c r="F90" s="106" t="s">
        <v>51</v>
      </c>
      <c r="H90" s="61">
        <v>0</v>
      </c>
      <c r="I90" s="61">
        <v>0</v>
      </c>
      <c r="J90" s="61">
        <v>0</v>
      </c>
      <c r="K90" s="86">
        <v>0</v>
      </c>
      <c r="L90" s="86">
        <v>0</v>
      </c>
      <c r="M90" s="61">
        <v>0</v>
      </c>
      <c r="N90" s="61">
        <v>0</v>
      </c>
      <c r="O90" s="61">
        <v>0</v>
      </c>
      <c r="P90" s="61">
        <v>0</v>
      </c>
      <c r="Q90" s="61">
        <v>0</v>
      </c>
      <c r="R90" s="61">
        <v>0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0</v>
      </c>
      <c r="Y90" s="61">
        <v>0</v>
      </c>
      <c r="AA90" s="61">
        <v>0</v>
      </c>
      <c r="AB90" s="60">
        <v>0</v>
      </c>
      <c r="AD90" s="61">
        <v>0</v>
      </c>
      <c r="AE90" s="60">
        <v>0</v>
      </c>
    </row>
    <row r="91" spans="1:31" ht="18" hidden="1" customHeight="1" outlineLevel="1" x14ac:dyDescent="0.2">
      <c r="A91" s="30" t="s">
        <v>213</v>
      </c>
      <c r="B91" s="30" t="s">
        <v>17</v>
      </c>
      <c r="C91" s="4">
        <v>-1.0004020908725371</v>
      </c>
      <c r="D91" s="4">
        <v>-1.0004020908725371</v>
      </c>
      <c r="F91" s="106" t="s">
        <v>215</v>
      </c>
      <c r="H91" s="61">
        <v>-13.927</v>
      </c>
      <c r="I91" s="61">
        <v>-14.868</v>
      </c>
      <c r="J91" s="61">
        <v>-14.868</v>
      </c>
      <c r="K91" s="86">
        <v>0</v>
      </c>
      <c r="L91" s="86">
        <v>0</v>
      </c>
      <c r="M91" s="61">
        <v>-1.0209999999999999</v>
      </c>
      <c r="N91" s="61">
        <v>-0.22100000000000009</v>
      </c>
      <c r="O91" s="61">
        <v>-1.149</v>
      </c>
      <c r="P91" s="61">
        <v>-0.70500000000000007</v>
      </c>
      <c r="Q91" s="61">
        <v>-8.8000000000000078E-2</v>
      </c>
      <c r="R91" s="61">
        <v>-2.3019999999999996</v>
      </c>
      <c r="S91" s="61">
        <v>-0.86399999999999988</v>
      </c>
      <c r="T91" s="61">
        <v>-2.1539999999999999</v>
      </c>
      <c r="U91" s="61">
        <v>-0.70000000000000107</v>
      </c>
      <c r="V91" s="61">
        <v>-1.4329999999999998</v>
      </c>
      <c r="W91" s="61">
        <v>-1.4139999999999997</v>
      </c>
      <c r="X91" s="61">
        <v>-0.38400000000000034</v>
      </c>
      <c r="Y91" s="61">
        <v>-12.435</v>
      </c>
      <c r="AA91" s="61">
        <v>0</v>
      </c>
      <c r="AB91" s="60">
        <v>-12.44</v>
      </c>
      <c r="AD91" s="61">
        <v>0</v>
      </c>
      <c r="AE91" s="60">
        <v>-12.44</v>
      </c>
    </row>
    <row r="92" spans="1:31" ht="18" hidden="1" customHeight="1" outlineLevel="1" x14ac:dyDescent="0.2">
      <c r="A92" s="30" t="s">
        <v>214</v>
      </c>
      <c r="B92" s="30" t="s">
        <v>17</v>
      </c>
      <c r="C92" s="4">
        <v>0</v>
      </c>
      <c r="D92" s="4">
        <v>0</v>
      </c>
      <c r="F92" s="106" t="s">
        <v>216</v>
      </c>
      <c r="H92" s="61">
        <v>0</v>
      </c>
      <c r="I92" s="61">
        <v>0</v>
      </c>
      <c r="J92" s="61">
        <v>0</v>
      </c>
      <c r="K92" s="86">
        <v>0</v>
      </c>
      <c r="L92" s="86">
        <v>0</v>
      </c>
      <c r="M92" s="61">
        <v>0</v>
      </c>
      <c r="N92" s="61">
        <v>0</v>
      </c>
      <c r="O92" s="61">
        <v>0</v>
      </c>
      <c r="P92" s="61">
        <v>0</v>
      </c>
      <c r="Q92" s="61">
        <v>0</v>
      </c>
      <c r="R92" s="61">
        <v>0</v>
      </c>
      <c r="S92" s="61">
        <v>0</v>
      </c>
      <c r="T92" s="61">
        <v>0</v>
      </c>
      <c r="U92" s="61">
        <v>0</v>
      </c>
      <c r="V92" s="61">
        <v>0</v>
      </c>
      <c r="W92" s="61">
        <v>0</v>
      </c>
      <c r="X92" s="61">
        <v>0</v>
      </c>
      <c r="Y92" s="61">
        <v>0</v>
      </c>
      <c r="AA92" s="61">
        <v>0</v>
      </c>
      <c r="AB92" s="60">
        <v>0</v>
      </c>
      <c r="AD92" s="61">
        <v>0</v>
      </c>
      <c r="AE92" s="60">
        <v>0</v>
      </c>
    </row>
    <row r="93" spans="1:31" ht="18" hidden="1" customHeight="1" outlineLevel="2" x14ac:dyDescent="0.2">
      <c r="A93" s="33" t="s">
        <v>53</v>
      </c>
      <c r="B93" s="33" t="s">
        <v>17</v>
      </c>
      <c r="C93" s="4">
        <v>-1.000013268494623</v>
      </c>
      <c r="D93" s="4">
        <v>-1.000013268494623</v>
      </c>
      <c r="F93" s="38" t="s">
        <v>55</v>
      </c>
      <c r="H93" s="66">
        <v>0</v>
      </c>
      <c r="I93" s="66">
        <v>-1.13686837721616E-13</v>
      </c>
      <c r="J93" s="66">
        <v>-1.13686837721616E-13</v>
      </c>
      <c r="K93" s="86">
        <v>0</v>
      </c>
      <c r="L93" s="86">
        <v>0</v>
      </c>
      <c r="M93" s="66">
        <v>0</v>
      </c>
      <c r="N93" s="66">
        <v>1.4210854715202001E-14</v>
      </c>
      <c r="O93" s="66">
        <v>0.85399999999999876</v>
      </c>
      <c r="P93" s="66">
        <v>-2.7977620220553945E-14</v>
      </c>
      <c r="Q93" s="66">
        <v>0</v>
      </c>
      <c r="R93" s="66">
        <v>0</v>
      </c>
      <c r="S93" s="66">
        <v>1.1401990462900358E-13</v>
      </c>
      <c r="T93" s="66">
        <v>0</v>
      </c>
      <c r="U93" s="66">
        <v>0</v>
      </c>
      <c r="V93" s="66">
        <v>-300.88100000000009</v>
      </c>
      <c r="W93" s="66">
        <v>-1.4390000000000214</v>
      </c>
      <c r="X93" s="66">
        <v>0</v>
      </c>
      <c r="Y93" s="66">
        <v>-301.46600000000001</v>
      </c>
      <c r="AA93" s="66">
        <v>0</v>
      </c>
      <c r="AB93" s="60">
        <v>-301.47000000000003</v>
      </c>
      <c r="AD93" s="66">
        <v>0</v>
      </c>
      <c r="AE93" s="60">
        <v>-301.47000000000003</v>
      </c>
    </row>
    <row r="94" spans="1:31" ht="18" hidden="1" customHeight="1" outlineLevel="2" x14ac:dyDescent="0.2">
      <c r="A94" s="33" t="s">
        <v>54</v>
      </c>
      <c r="B94" s="33" t="s">
        <v>17</v>
      </c>
      <c r="C94" s="4">
        <v>0</v>
      </c>
      <c r="D94" s="4">
        <v>0</v>
      </c>
      <c r="F94" s="38" t="s">
        <v>56</v>
      </c>
      <c r="H94" s="66">
        <v>0</v>
      </c>
      <c r="I94" s="66">
        <v>0</v>
      </c>
      <c r="J94" s="66">
        <v>0</v>
      </c>
      <c r="K94" s="86">
        <v>0</v>
      </c>
      <c r="L94" s="8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AA94" s="66">
        <v>0</v>
      </c>
      <c r="AB94" s="60">
        <v>0</v>
      </c>
      <c r="AD94" s="66">
        <v>0</v>
      </c>
      <c r="AE94" s="60">
        <v>0</v>
      </c>
    </row>
    <row r="95" spans="1:31" ht="18" hidden="1" customHeight="1" outlineLevel="1" x14ac:dyDescent="0.2">
      <c r="A95" s="35"/>
      <c r="B95" s="35"/>
      <c r="C95" s="4">
        <v>1.0000000000000213</v>
      </c>
      <c r="D95" s="4">
        <v>1.0000000000000213</v>
      </c>
      <c r="F95" s="106" t="s">
        <v>58</v>
      </c>
      <c r="H95" s="61">
        <v>9.185999999999698</v>
      </c>
      <c r="I95" s="61">
        <v>27.839999999999833</v>
      </c>
      <c r="J95" s="61">
        <v>27.839999999999833</v>
      </c>
      <c r="K95" s="86">
        <v>0</v>
      </c>
      <c r="L95" s="86">
        <v>0</v>
      </c>
      <c r="M95" s="61">
        <v>-0.30599999999998406</v>
      </c>
      <c r="N95" s="61">
        <v>-9.6070000000000313</v>
      </c>
      <c r="O95" s="61">
        <v>-7.4629999999999379</v>
      </c>
      <c r="P95" s="61">
        <v>2.3489999999999061</v>
      </c>
      <c r="Q95" s="61">
        <v>9.5240000000000649</v>
      </c>
      <c r="R95" s="61">
        <v>-0.67299999999988103</v>
      </c>
      <c r="S95" s="61">
        <v>75.671000000000049</v>
      </c>
      <c r="T95" s="61">
        <v>-86.712000000000117</v>
      </c>
      <c r="U95" s="61">
        <v>16.935000000000095</v>
      </c>
      <c r="V95" s="61">
        <v>-30.587000000000103</v>
      </c>
      <c r="W95" s="61">
        <v>48.147999999999897</v>
      </c>
      <c r="X95" s="61">
        <v>-7.1490000000001173</v>
      </c>
      <c r="Y95" s="61">
        <v>10.129999999999786</v>
      </c>
      <c r="AA95" s="61">
        <v>0</v>
      </c>
      <c r="AB95" s="60">
        <v>10.130000000000001</v>
      </c>
      <c r="AD95" s="61">
        <v>0</v>
      </c>
      <c r="AE95" s="60">
        <v>10.130000000000001</v>
      </c>
    </row>
    <row r="96" spans="1:31" ht="18" customHeight="1" collapsed="1" x14ac:dyDescent="0.2">
      <c r="A96" s="35"/>
      <c r="B96" s="35"/>
      <c r="C96" s="4">
        <v>-0.99961602457439958</v>
      </c>
      <c r="D96" s="4">
        <v>-0.99961602457439958</v>
      </c>
      <c r="F96" s="45" t="s">
        <v>26</v>
      </c>
      <c r="H96" s="62">
        <v>-44.843000000000302</v>
      </c>
      <c r="I96" s="62">
        <v>5.4109999999998308</v>
      </c>
      <c r="J96" s="62">
        <v>5.4109999999998308</v>
      </c>
      <c r="K96" s="108">
        <v>0</v>
      </c>
      <c r="L96" s="108">
        <v>0</v>
      </c>
      <c r="M96" s="62">
        <v>-1.326999999999984</v>
      </c>
      <c r="N96" s="62">
        <v>-9.8280000000000314</v>
      </c>
      <c r="O96" s="62">
        <v>-8.6119999999999379</v>
      </c>
      <c r="P96" s="62">
        <v>1.643999999999906</v>
      </c>
      <c r="Q96" s="62">
        <v>9.4360000000000639</v>
      </c>
      <c r="R96" s="62">
        <v>-2.9749999999998806</v>
      </c>
      <c r="S96" s="62">
        <v>12.008000000000038</v>
      </c>
      <c r="T96" s="62">
        <v>-27.325000000000102</v>
      </c>
      <c r="U96" s="62">
        <v>12.859000000000094</v>
      </c>
      <c r="V96" s="62">
        <v>-32.1400000000001</v>
      </c>
      <c r="W96" s="62">
        <v>46.679999999999893</v>
      </c>
      <c r="X96" s="62">
        <v>-8.2330000000001178</v>
      </c>
      <c r="Y96" s="62">
        <v>-7.8130000000002156</v>
      </c>
      <c r="AA96" s="62">
        <v>0</v>
      </c>
      <c r="AB96" s="60">
        <v>-7.81</v>
      </c>
      <c r="AD96" s="62">
        <v>0</v>
      </c>
      <c r="AE96" s="60">
        <v>-7.81</v>
      </c>
    </row>
    <row r="97" spans="1:31" ht="18" customHeight="1" x14ac:dyDescent="0.2">
      <c r="A97" s="30" t="s">
        <v>16</v>
      </c>
      <c r="B97" s="30" t="s">
        <v>17</v>
      </c>
      <c r="C97" s="4">
        <v>3.3701973897552737E-2</v>
      </c>
      <c r="D97" s="4">
        <v>2.6389823987688757E-2</v>
      </c>
      <c r="F97" s="95" t="s">
        <v>118</v>
      </c>
      <c r="H97" s="64">
        <v>-3322.8110000000001</v>
      </c>
      <c r="I97" s="64">
        <v>-2712.4360000000001</v>
      </c>
      <c r="J97" s="64">
        <v>-2712.4360000000001</v>
      </c>
      <c r="K97" s="89">
        <v>-2849.3879999999999</v>
      </c>
      <c r="L97" s="89">
        <v>-2827.9839999999999</v>
      </c>
      <c r="M97" s="64">
        <v>-224.82</v>
      </c>
      <c r="N97" s="64">
        <v>-254.60700000000003</v>
      </c>
      <c r="O97" s="64">
        <v>-278.04499999999996</v>
      </c>
      <c r="P97" s="64">
        <v>-223.21000000000004</v>
      </c>
      <c r="Q97" s="64">
        <v>-193.80099999999993</v>
      </c>
      <c r="R97" s="64">
        <v>-254.81899999999996</v>
      </c>
      <c r="S97" s="64">
        <v>-161.55799999999999</v>
      </c>
      <c r="T97" s="64">
        <v>-207.35000000000014</v>
      </c>
      <c r="U97" s="64">
        <v>-220.55399999999986</v>
      </c>
      <c r="V97" s="64">
        <v>-308.7650000000001</v>
      </c>
      <c r="W97" s="64">
        <v>-210.67700000000013</v>
      </c>
      <c r="X97" s="64">
        <v>-215.14899999999989</v>
      </c>
      <c r="Y97" s="64">
        <v>-2753.355</v>
      </c>
      <c r="AA97" s="64">
        <v>-2849.3880000000004</v>
      </c>
      <c r="AB97" s="60">
        <v>96.03</v>
      </c>
      <c r="AD97" s="64">
        <v>-2827.9839999999999</v>
      </c>
      <c r="AE97" s="60">
        <v>74.63</v>
      </c>
    </row>
    <row r="98" spans="1:31" ht="12.95" customHeight="1" x14ac:dyDescent="0.2">
      <c r="A98" s="35"/>
      <c r="B98" s="35"/>
      <c r="C98" s="4"/>
      <c r="D98" s="4"/>
      <c r="F98" s="39" t="s">
        <v>223</v>
      </c>
      <c r="H98" s="56">
        <v>0.19538979688536945</v>
      </c>
      <c r="I98" s="56">
        <v>0.15433451237251455</v>
      </c>
      <c r="J98" s="56">
        <v>0.15433451237251455</v>
      </c>
      <c r="K98" s="109">
        <v>0.16417370566170625</v>
      </c>
      <c r="L98" s="109">
        <v>0.15707002102295262</v>
      </c>
      <c r="M98" s="56">
        <v>0.16227230305843085</v>
      </c>
      <c r="N98" s="56">
        <v>0.18518421540710681</v>
      </c>
      <c r="O98" s="56">
        <v>0.19493517000783822</v>
      </c>
      <c r="P98" s="56">
        <v>0.14600722153902509</v>
      </c>
      <c r="Q98" s="56">
        <v>0.11890397847714113</v>
      </c>
      <c r="R98" s="56">
        <v>0.1625716301758425</v>
      </c>
      <c r="S98" s="56">
        <v>0.1103260928946822</v>
      </c>
      <c r="T98" s="56">
        <v>0.13687128158650552</v>
      </c>
      <c r="U98" s="56">
        <v>0.14547438101130383</v>
      </c>
      <c r="V98" s="56">
        <v>0.19597494942981211</v>
      </c>
      <c r="W98" s="56">
        <v>0.13318738229457547</v>
      </c>
      <c r="X98" s="56">
        <v>0.1327776989206168</v>
      </c>
      <c r="Y98" s="56">
        <v>0.1514007853349881</v>
      </c>
      <c r="AA98" s="56">
        <v>0.16417370566170625</v>
      </c>
      <c r="AB98" s="57"/>
      <c r="AD98" s="56">
        <v>0.15707002102295262</v>
      </c>
      <c r="AE98" s="57"/>
    </row>
    <row r="99" spans="1:31" ht="6.95" customHeight="1" x14ac:dyDescent="0.2">
      <c r="C99" s="4"/>
      <c r="D99" s="4"/>
      <c r="F99" s="96"/>
      <c r="K99" s="110"/>
      <c r="L99" s="110"/>
      <c r="AB99" s="7"/>
      <c r="AE99" s="7"/>
    </row>
    <row r="100" spans="1:31" ht="18" hidden="1" customHeight="1" outlineLevel="1" x14ac:dyDescent="0.2">
      <c r="A100" s="30" t="s">
        <v>36</v>
      </c>
      <c r="B100" s="30" t="s">
        <v>59</v>
      </c>
      <c r="C100" s="4"/>
      <c r="D100" s="4"/>
      <c r="F100" s="51" t="s">
        <v>235</v>
      </c>
      <c r="G100" s="34"/>
      <c r="H100" s="72">
        <v>3.64</v>
      </c>
      <c r="I100" s="72">
        <v>5.2729999999999997</v>
      </c>
      <c r="J100" s="72">
        <v>5.2729999999999997</v>
      </c>
      <c r="K100" s="111">
        <v>7.88</v>
      </c>
      <c r="L100" s="111">
        <v>7.4489999999999998</v>
      </c>
      <c r="M100" s="72">
        <v>7.8000000000000007</v>
      </c>
      <c r="N100" s="72">
        <v>8.6640000000000015</v>
      </c>
      <c r="O100" s="72">
        <v>7.3079999999999998</v>
      </c>
      <c r="P100" s="72">
        <v>8.291999999999998</v>
      </c>
      <c r="Q100" s="72">
        <v>8.6159999999999997</v>
      </c>
      <c r="R100" s="72">
        <v>8.8440000000000012</v>
      </c>
      <c r="S100" s="72">
        <v>8.8439999999999941</v>
      </c>
      <c r="T100" s="72">
        <v>8.8440000000000083</v>
      </c>
      <c r="U100" s="72">
        <v>7.23599999999999</v>
      </c>
      <c r="V100" s="72">
        <v>7.847999999999999</v>
      </c>
      <c r="W100" s="72">
        <v>7.847999999999999</v>
      </c>
      <c r="X100" s="72">
        <v>7.2120000000000033</v>
      </c>
      <c r="Y100" s="72">
        <v>8.1129999999999995</v>
      </c>
      <c r="Z100" s="34"/>
      <c r="AA100" s="72">
        <v>7.88</v>
      </c>
      <c r="AB100" s="73">
        <v>0.23</v>
      </c>
      <c r="AC100" s="34"/>
      <c r="AD100" s="72">
        <v>7.4489999999999998</v>
      </c>
      <c r="AE100" s="73">
        <v>0.66</v>
      </c>
    </row>
    <row r="101" spans="1:31" ht="18" hidden="1" customHeight="1" outlineLevel="1" x14ac:dyDescent="0.2">
      <c r="A101" s="30" t="s">
        <v>36</v>
      </c>
      <c r="B101" s="30" t="s">
        <v>60</v>
      </c>
      <c r="C101" s="4"/>
      <c r="D101" s="4"/>
      <c r="F101" s="51" t="s">
        <v>236</v>
      </c>
      <c r="G101" s="34"/>
      <c r="H101" s="72">
        <v>2.4700000000000002</v>
      </c>
      <c r="I101" s="72">
        <v>2.0310000000000001</v>
      </c>
      <c r="J101" s="72">
        <v>2.0310000000000001</v>
      </c>
      <c r="K101" s="111">
        <v>2.96</v>
      </c>
      <c r="L101" s="111">
        <v>2.8039999999999998</v>
      </c>
      <c r="M101" s="72">
        <v>2.4240000000000004</v>
      </c>
      <c r="N101" s="72">
        <v>2.1599999999999993</v>
      </c>
      <c r="O101" s="72">
        <v>2.34</v>
      </c>
      <c r="P101" s="72">
        <v>2.4480000000000004</v>
      </c>
      <c r="Q101" s="72">
        <v>2.4000000000000004</v>
      </c>
      <c r="R101" s="72">
        <v>2.1839999999999993</v>
      </c>
      <c r="S101" s="72">
        <v>2.1720000000000006</v>
      </c>
      <c r="T101" s="72">
        <v>2.2199999999999989</v>
      </c>
      <c r="U101" s="72">
        <v>1.8000000000000007</v>
      </c>
      <c r="V101" s="72">
        <v>2.1240000000000023</v>
      </c>
      <c r="W101" s="72">
        <v>3.0479999999999983</v>
      </c>
      <c r="X101" s="72">
        <v>2.4960000000000022</v>
      </c>
      <c r="Y101" s="72">
        <v>2.3180000000000001</v>
      </c>
      <c r="Z101" s="34"/>
      <c r="AA101" s="72">
        <v>2.96</v>
      </c>
      <c r="AB101" s="73">
        <v>-0.64</v>
      </c>
      <c r="AC101" s="34"/>
      <c r="AD101" s="72">
        <v>2.8039999999999998</v>
      </c>
      <c r="AE101" s="73">
        <v>-0.49</v>
      </c>
    </row>
    <row r="102" spans="1:31" ht="18" hidden="1" customHeight="1" outlineLevel="1" x14ac:dyDescent="0.2">
      <c r="A102" s="30" t="s">
        <v>36</v>
      </c>
      <c r="B102" s="30" t="s">
        <v>61</v>
      </c>
      <c r="C102" s="4"/>
      <c r="D102" s="4"/>
      <c r="F102" s="51" t="s">
        <v>237</v>
      </c>
      <c r="G102" s="34"/>
      <c r="H102" s="72">
        <v>125.77</v>
      </c>
      <c r="I102" s="72">
        <v>120.786</v>
      </c>
      <c r="J102" s="72">
        <v>120.786</v>
      </c>
      <c r="K102" s="111">
        <v>116.779</v>
      </c>
      <c r="L102" s="111">
        <v>125.21299999999999</v>
      </c>
      <c r="M102" s="72">
        <v>118.66799999999999</v>
      </c>
      <c r="N102" s="72">
        <v>117.492</v>
      </c>
      <c r="O102" s="72">
        <v>117.6</v>
      </c>
      <c r="P102" s="72">
        <v>119.928</v>
      </c>
      <c r="Q102" s="72">
        <v>119.904</v>
      </c>
      <c r="R102" s="72">
        <v>121.27200000000005</v>
      </c>
      <c r="S102" s="72">
        <v>121.40399999999988</v>
      </c>
      <c r="T102" s="72">
        <v>121.0680000000001</v>
      </c>
      <c r="U102" s="72">
        <v>120.60000000000014</v>
      </c>
      <c r="V102" s="72">
        <v>125.75999999999999</v>
      </c>
      <c r="W102" s="72">
        <v>128.48399999999992</v>
      </c>
      <c r="X102" s="72">
        <v>133.87200000000007</v>
      </c>
      <c r="Y102" s="72">
        <v>122.17100000000001</v>
      </c>
      <c r="Z102" s="34"/>
      <c r="AA102" s="72">
        <v>116.779</v>
      </c>
      <c r="AB102" s="73">
        <v>5.39</v>
      </c>
      <c r="AC102" s="34"/>
      <c r="AD102" s="72">
        <v>125.21299999999999</v>
      </c>
      <c r="AE102" s="73">
        <v>-3.04</v>
      </c>
    </row>
    <row r="103" spans="1:31" ht="18" hidden="1" customHeight="1" outlineLevel="1" x14ac:dyDescent="0.2">
      <c r="A103" s="30" t="s">
        <v>36</v>
      </c>
      <c r="B103" s="30" t="s">
        <v>62</v>
      </c>
      <c r="C103" s="4"/>
      <c r="D103" s="4"/>
      <c r="F103" s="51" t="s">
        <v>238</v>
      </c>
      <c r="G103" s="34"/>
      <c r="H103" s="72">
        <v>9.58</v>
      </c>
      <c r="I103" s="72">
        <v>7.6879999999999997</v>
      </c>
      <c r="J103" s="72">
        <v>7.6879999999999997</v>
      </c>
      <c r="K103" s="111">
        <v>4.5</v>
      </c>
      <c r="L103" s="111">
        <v>7.4969999999999999</v>
      </c>
      <c r="M103" s="72">
        <v>6.2640000000000002</v>
      </c>
      <c r="N103" s="72">
        <v>6.1079999999999997</v>
      </c>
      <c r="O103" s="72">
        <v>6.7439999999999998</v>
      </c>
      <c r="P103" s="72">
        <v>6.9720000000000013</v>
      </c>
      <c r="Q103" s="72">
        <v>6.4200000000000017</v>
      </c>
      <c r="R103" s="72">
        <v>7.847999999999999</v>
      </c>
      <c r="S103" s="72">
        <v>7.5599999999999952</v>
      </c>
      <c r="T103" s="72">
        <v>7.9680000000000035</v>
      </c>
      <c r="U103" s="72">
        <v>8.0399999999999991</v>
      </c>
      <c r="V103" s="72">
        <v>8.6519999999999939</v>
      </c>
      <c r="W103" s="72">
        <v>10.463999999999999</v>
      </c>
      <c r="X103" s="72">
        <v>10.956000000000017</v>
      </c>
      <c r="Y103" s="72">
        <v>7.8330000000000011</v>
      </c>
      <c r="Z103" s="34"/>
      <c r="AA103" s="72">
        <v>4.5</v>
      </c>
      <c r="AB103" s="73">
        <v>3.33</v>
      </c>
      <c r="AC103" s="34"/>
      <c r="AD103" s="72">
        <v>7.4969999999999999</v>
      </c>
      <c r="AE103" s="73">
        <v>0.34</v>
      </c>
    </row>
    <row r="104" spans="1:31" ht="18" customHeight="1" collapsed="1" x14ac:dyDescent="0.2">
      <c r="A104" s="30" t="s">
        <v>36</v>
      </c>
      <c r="B104" s="30" t="s">
        <v>18</v>
      </c>
      <c r="C104" s="4"/>
      <c r="D104" s="4"/>
      <c r="F104" s="97" t="s">
        <v>239</v>
      </c>
      <c r="H104" s="74">
        <v>141.46</v>
      </c>
      <c r="I104" s="74">
        <v>135.77799999999999</v>
      </c>
      <c r="J104" s="74">
        <v>135.77799999999999</v>
      </c>
      <c r="K104" s="112">
        <v>132.119</v>
      </c>
      <c r="L104" s="112">
        <v>143.29300000000001</v>
      </c>
      <c r="M104" s="74">
        <v>135.15600000000001</v>
      </c>
      <c r="N104" s="74">
        <v>134.42399999999998</v>
      </c>
      <c r="O104" s="74">
        <v>133.99200000000002</v>
      </c>
      <c r="P104" s="74">
        <v>137.63999999999999</v>
      </c>
      <c r="Q104" s="74">
        <v>137.34000000000003</v>
      </c>
      <c r="R104" s="74">
        <v>140.14799999999991</v>
      </c>
      <c r="S104" s="74">
        <v>139.98000000000013</v>
      </c>
      <c r="T104" s="74">
        <v>140.09999999999991</v>
      </c>
      <c r="U104" s="74">
        <v>137.67599999999993</v>
      </c>
      <c r="V104" s="74">
        <v>144.38400000000001</v>
      </c>
      <c r="W104" s="74">
        <v>149.84400000000005</v>
      </c>
      <c r="X104" s="74">
        <v>154.53600000000006</v>
      </c>
      <c r="Y104" s="74">
        <v>140.435</v>
      </c>
      <c r="AA104" s="74">
        <v>132.119</v>
      </c>
      <c r="AB104" s="73">
        <v>8.32</v>
      </c>
      <c r="AD104" s="74">
        <v>143.29300000000001</v>
      </c>
      <c r="AE104" s="73">
        <v>-2.86</v>
      </c>
    </row>
    <row r="105" spans="1:31" ht="18" hidden="1" customHeight="1" outlineLevel="1" collapsed="1" x14ac:dyDescent="0.2">
      <c r="A105" s="33" t="s">
        <v>211</v>
      </c>
      <c r="B105" s="33" t="s">
        <v>18</v>
      </c>
      <c r="C105" s="4"/>
      <c r="D105" s="4"/>
      <c r="F105" s="98" t="s">
        <v>212</v>
      </c>
      <c r="G105" s="34"/>
      <c r="H105" s="75">
        <v>158.11099999999999</v>
      </c>
      <c r="I105" s="75">
        <v>151.44</v>
      </c>
      <c r="J105" s="75">
        <v>151.44</v>
      </c>
      <c r="K105" s="112">
        <v>132.119</v>
      </c>
      <c r="L105" s="112">
        <v>143.29300000000001</v>
      </c>
      <c r="M105" s="75">
        <v>147.60000000000002</v>
      </c>
      <c r="N105" s="75">
        <v>151.28399999999999</v>
      </c>
      <c r="O105" s="75">
        <v>149.01600000000002</v>
      </c>
      <c r="P105" s="75">
        <v>151.17599999999999</v>
      </c>
      <c r="Q105" s="75">
        <v>151.07999999999993</v>
      </c>
      <c r="R105" s="75">
        <v>149.39999999999998</v>
      </c>
      <c r="S105" s="75">
        <v>149.77200000000005</v>
      </c>
      <c r="T105" s="75">
        <v>153.33600000000001</v>
      </c>
      <c r="U105" s="75">
        <v>153.048</v>
      </c>
      <c r="V105" s="75">
        <v>161.60400000000004</v>
      </c>
      <c r="W105" s="75">
        <v>167.14800000000014</v>
      </c>
      <c r="X105" s="75">
        <v>165.77999999999997</v>
      </c>
      <c r="Y105" s="75">
        <v>154.18700000000001</v>
      </c>
      <c r="Z105" s="34"/>
      <c r="AA105" s="75">
        <v>132.119</v>
      </c>
      <c r="AB105" s="76">
        <v>22.07</v>
      </c>
      <c r="AC105" s="34"/>
      <c r="AD105" s="75">
        <v>143.29300000000001</v>
      </c>
      <c r="AE105" s="76">
        <v>10.89</v>
      </c>
    </row>
    <row r="106" spans="1:31" ht="18" hidden="1" customHeight="1" outlineLevel="1" collapsed="1" x14ac:dyDescent="0.2">
      <c r="A106" s="35"/>
      <c r="B106" s="35"/>
      <c r="C106" s="4"/>
      <c r="D106" s="4"/>
      <c r="F106" s="97" t="s">
        <v>240</v>
      </c>
      <c r="H106" s="74">
        <v>16.650999999999982</v>
      </c>
      <c r="I106" s="74">
        <v>15.662000000000006</v>
      </c>
      <c r="J106" s="74">
        <v>15.662000000000006</v>
      </c>
      <c r="K106" s="112">
        <v>0</v>
      </c>
      <c r="L106" s="112">
        <v>0</v>
      </c>
      <c r="M106" s="74">
        <v>12.444000000000017</v>
      </c>
      <c r="N106" s="74">
        <v>16.860000000000014</v>
      </c>
      <c r="O106" s="74">
        <v>15.024000000000001</v>
      </c>
      <c r="P106" s="74">
        <v>13.536000000000001</v>
      </c>
      <c r="Q106" s="74">
        <v>13.739999999999895</v>
      </c>
      <c r="R106" s="74">
        <v>9.2520000000000664</v>
      </c>
      <c r="S106" s="74">
        <v>9.7919999999999163</v>
      </c>
      <c r="T106" s="74">
        <v>13.236000000000104</v>
      </c>
      <c r="U106" s="74">
        <v>15.372000000000071</v>
      </c>
      <c r="V106" s="74">
        <v>17.220000000000027</v>
      </c>
      <c r="W106" s="74">
        <v>17.304000000000087</v>
      </c>
      <c r="X106" s="74">
        <v>11.243999999999915</v>
      </c>
      <c r="Y106" s="74">
        <v>13.75200000000001</v>
      </c>
      <c r="AA106" s="74">
        <v>0</v>
      </c>
      <c r="AB106" s="73">
        <v>13.75</v>
      </c>
      <c r="AD106" s="74">
        <v>0</v>
      </c>
      <c r="AE106" s="73">
        <v>13.75</v>
      </c>
    </row>
    <row r="107" spans="1:31" ht="12.95" hidden="1" customHeight="1" outlineLevel="1" x14ac:dyDescent="0.2">
      <c r="A107" s="35"/>
      <c r="B107" s="35"/>
      <c r="C107" s="4"/>
      <c r="D107" s="4"/>
      <c r="F107" s="39" t="s">
        <v>37</v>
      </c>
      <c r="H107" s="68">
        <v>0.10531209087286769</v>
      </c>
      <c r="I107" s="68">
        <v>0.10342049656629693</v>
      </c>
      <c r="J107" s="68">
        <v>0.10342049656629693</v>
      </c>
      <c r="K107" s="113">
        <v>0</v>
      </c>
      <c r="L107" s="113">
        <v>0</v>
      </c>
      <c r="M107" s="68">
        <v>8.4308943089431002E-2</v>
      </c>
      <c r="N107" s="68">
        <v>0.11144602205124148</v>
      </c>
      <c r="O107" s="68">
        <v>0.10082138830729585</v>
      </c>
      <c r="P107" s="68">
        <v>8.9538021908239424E-2</v>
      </c>
      <c r="Q107" s="68">
        <v>9.0945194598887363E-2</v>
      </c>
      <c r="R107" s="68">
        <v>6.1927710843373951E-2</v>
      </c>
      <c r="S107" s="68">
        <v>6.5379376652511242E-2</v>
      </c>
      <c r="T107" s="68">
        <v>8.6320237908906597E-2</v>
      </c>
      <c r="U107" s="68">
        <v>0.10043907793633416</v>
      </c>
      <c r="V107" s="68">
        <v>0.106556768396822</v>
      </c>
      <c r="W107" s="68">
        <v>0.1035250197429827</v>
      </c>
      <c r="X107" s="68">
        <v>6.7824828085413902E-2</v>
      </c>
      <c r="Y107" s="68">
        <v>8.9190398671742804E-2</v>
      </c>
      <c r="AA107" s="68">
        <v>0</v>
      </c>
      <c r="AB107" s="69"/>
      <c r="AD107" s="68">
        <v>0</v>
      </c>
      <c r="AE107" s="69"/>
    </row>
    <row r="108" spans="1:31" ht="18" customHeight="1" collapsed="1" x14ac:dyDescent="0.2">
      <c r="A108" s="30" t="s">
        <v>220</v>
      </c>
      <c r="B108" s="30" t="s">
        <v>18</v>
      </c>
      <c r="C108" s="4">
        <v>-2.4401025773338823E-2</v>
      </c>
      <c r="D108" s="4">
        <v>-1.5526339128559984E-2</v>
      </c>
      <c r="F108" s="106" t="s">
        <v>66</v>
      </c>
      <c r="H108" s="61">
        <v>-6896.7910000000002</v>
      </c>
      <c r="I108" s="61">
        <v>-6943.1149999999998</v>
      </c>
      <c r="J108" s="61">
        <v>-6943.1149999999998</v>
      </c>
      <c r="K108" s="86">
        <v>-6866.92443</v>
      </c>
      <c r="L108" s="86">
        <v>-6926.9387399999996</v>
      </c>
      <c r="M108" s="61">
        <v>-560.59199999999998</v>
      </c>
      <c r="N108" s="61">
        <v>-544.89199999999994</v>
      </c>
      <c r="O108" s="61">
        <v>-574.32000000000016</v>
      </c>
      <c r="P108" s="61">
        <v>-576.57200000000012</v>
      </c>
      <c r="Q108" s="61">
        <v>-556.33799999999974</v>
      </c>
      <c r="R108" s="61">
        <v>-683.5</v>
      </c>
      <c r="S108" s="61">
        <v>-552.70600000000013</v>
      </c>
      <c r="T108" s="61">
        <v>-515.14300000000003</v>
      </c>
      <c r="U108" s="61">
        <v>-615.46699999999964</v>
      </c>
      <c r="V108" s="61">
        <v>-608.3690000000006</v>
      </c>
      <c r="W108" s="61">
        <v>-572.92199999999957</v>
      </c>
      <c r="X108" s="61">
        <v>-673.66399999999976</v>
      </c>
      <c r="Y108" s="61">
        <v>-7034.4849999999997</v>
      </c>
      <c r="AA108" s="61">
        <v>-6866.92443</v>
      </c>
      <c r="AB108" s="60">
        <v>-167.56</v>
      </c>
      <c r="AD108" s="61">
        <v>-6926.9387400000005</v>
      </c>
      <c r="AE108" s="60">
        <v>-107.55</v>
      </c>
    </row>
    <row r="109" spans="1:31" ht="18" customHeight="1" x14ac:dyDescent="0.2">
      <c r="A109" s="30" t="s">
        <v>218</v>
      </c>
      <c r="B109" s="30" t="s">
        <v>18</v>
      </c>
      <c r="C109" s="4">
        <v>-1.0000545782014663</v>
      </c>
      <c r="D109" s="4">
        <v>-1.0000545782014663</v>
      </c>
      <c r="F109" s="104" t="s">
        <v>219</v>
      </c>
      <c r="G109" s="36"/>
      <c r="H109" s="65">
        <v>22.202999999999999</v>
      </c>
      <c r="I109" s="65">
        <v>-30.763000000000002</v>
      </c>
      <c r="J109" s="65">
        <v>-30.763000000000002</v>
      </c>
      <c r="K109" s="65">
        <v>0</v>
      </c>
      <c r="L109" s="65">
        <v>0</v>
      </c>
      <c r="M109" s="65">
        <v>-34.64</v>
      </c>
      <c r="N109" s="65">
        <v>-32.366</v>
      </c>
      <c r="O109" s="65">
        <v>-19.829999999999998</v>
      </c>
      <c r="P109" s="65">
        <v>-21.024000000000001</v>
      </c>
      <c r="Q109" s="65">
        <v>51.756999999999998</v>
      </c>
      <c r="R109" s="65">
        <v>17.75</v>
      </c>
      <c r="S109" s="65">
        <v>37.748000000000012</v>
      </c>
      <c r="T109" s="65">
        <v>100.19799999999999</v>
      </c>
      <c r="U109" s="65">
        <v>-48.816000000000003</v>
      </c>
      <c r="V109" s="65">
        <v>-17.192999999999998</v>
      </c>
      <c r="W109" s="65">
        <v>-45.835000000000001</v>
      </c>
      <c r="X109" s="65">
        <v>-42.716000000000001</v>
      </c>
      <c r="Y109" s="65">
        <v>-54.966999999999999</v>
      </c>
      <c r="Z109" s="36"/>
      <c r="AA109" s="65">
        <v>0</v>
      </c>
      <c r="AB109" s="60">
        <v>-54.97</v>
      </c>
      <c r="AC109" s="36"/>
      <c r="AD109" s="65">
        <v>0</v>
      </c>
      <c r="AE109" s="60">
        <v>-54.97</v>
      </c>
    </row>
    <row r="110" spans="1:31" ht="18" customHeight="1" x14ac:dyDescent="0.2">
      <c r="A110" s="30" t="s">
        <v>34</v>
      </c>
      <c r="B110" s="30" t="s">
        <v>18</v>
      </c>
      <c r="C110" s="4">
        <v>0</v>
      </c>
      <c r="D110" s="4">
        <v>0</v>
      </c>
      <c r="F110" s="106" t="s">
        <v>57</v>
      </c>
      <c r="H110" s="61">
        <v>0</v>
      </c>
      <c r="I110" s="61">
        <v>0</v>
      </c>
      <c r="J110" s="61">
        <v>0</v>
      </c>
      <c r="K110" s="86">
        <v>0</v>
      </c>
      <c r="L110" s="86">
        <v>0</v>
      </c>
      <c r="M110" s="61">
        <v>0</v>
      </c>
      <c r="N110" s="61">
        <v>0</v>
      </c>
      <c r="O110" s="61">
        <v>0</v>
      </c>
      <c r="P110" s="61">
        <v>0</v>
      </c>
      <c r="Q110" s="61">
        <v>0</v>
      </c>
      <c r="R110" s="61">
        <v>0</v>
      </c>
      <c r="S110" s="61">
        <v>0</v>
      </c>
      <c r="T110" s="61">
        <v>0</v>
      </c>
      <c r="U110" s="61">
        <v>0</v>
      </c>
      <c r="V110" s="61">
        <v>0</v>
      </c>
      <c r="W110" s="61">
        <v>0</v>
      </c>
      <c r="X110" s="61">
        <v>0</v>
      </c>
      <c r="Y110" s="61">
        <v>0</v>
      </c>
      <c r="AA110" s="61">
        <v>0</v>
      </c>
      <c r="AB110" s="60">
        <v>0</v>
      </c>
      <c r="AD110" s="61">
        <v>0</v>
      </c>
      <c r="AE110" s="60">
        <v>0</v>
      </c>
    </row>
    <row r="111" spans="1:31" ht="18" customHeight="1" x14ac:dyDescent="0.2">
      <c r="A111" s="30" t="s">
        <v>221</v>
      </c>
      <c r="B111" s="30" t="s">
        <v>18</v>
      </c>
      <c r="C111" s="4">
        <v>1.0002630886608788</v>
      </c>
      <c r="D111" s="4">
        <v>0.48283931357254289</v>
      </c>
      <c r="F111" s="106" t="s">
        <v>379</v>
      </c>
      <c r="H111" s="61">
        <v>8.2550000000000008</v>
      </c>
      <c r="I111" s="61">
        <v>18.972000000000001</v>
      </c>
      <c r="J111" s="61">
        <v>18.972000000000001</v>
      </c>
      <c r="K111" s="86">
        <v>0</v>
      </c>
      <c r="L111" s="86">
        <v>12.82</v>
      </c>
      <c r="M111" s="61">
        <v>1.264</v>
      </c>
      <c r="N111" s="61">
        <v>0.59899999999999998</v>
      </c>
      <c r="O111" s="61">
        <v>5.8279999999999994</v>
      </c>
      <c r="P111" s="61">
        <v>2.0440000000000005</v>
      </c>
      <c r="Q111" s="61">
        <v>2.3490000000000002</v>
      </c>
      <c r="R111" s="61">
        <v>1.5240000000000009</v>
      </c>
      <c r="S111" s="61">
        <v>0</v>
      </c>
      <c r="T111" s="61">
        <v>1.1239999999999988</v>
      </c>
      <c r="U111" s="61">
        <v>0.20800000000000018</v>
      </c>
      <c r="V111" s="61">
        <v>0.24800000000000111</v>
      </c>
      <c r="W111" s="61">
        <v>0</v>
      </c>
      <c r="X111" s="61">
        <v>3.8169999999999984</v>
      </c>
      <c r="Y111" s="61">
        <v>19.004999999999999</v>
      </c>
      <c r="AA111" s="61">
        <v>0</v>
      </c>
      <c r="AB111" s="60">
        <v>19.010000000000002</v>
      </c>
      <c r="AD111" s="61">
        <v>12.82</v>
      </c>
      <c r="AE111" s="60">
        <v>6.19</v>
      </c>
    </row>
    <row r="112" spans="1:31" ht="18" customHeight="1" x14ac:dyDescent="0.2">
      <c r="A112" s="30" t="s">
        <v>430</v>
      </c>
      <c r="B112" s="30" t="s">
        <v>18</v>
      </c>
      <c r="C112" s="4">
        <v>0</v>
      </c>
      <c r="D112" s="4">
        <v>0</v>
      </c>
      <c r="F112" s="106" t="s">
        <v>431</v>
      </c>
      <c r="H112" s="61">
        <v>-4.95</v>
      </c>
      <c r="I112" s="61">
        <v>-0.59599999999999997</v>
      </c>
      <c r="J112" s="61">
        <v>-0.59599999999999997</v>
      </c>
      <c r="K112" s="86">
        <v>0</v>
      </c>
      <c r="L112" s="86">
        <v>0</v>
      </c>
      <c r="M112" s="61">
        <v>0</v>
      </c>
      <c r="N112" s="61">
        <v>0</v>
      </c>
      <c r="O112" s="61">
        <v>0</v>
      </c>
      <c r="P112" s="61">
        <v>0</v>
      </c>
      <c r="Q112" s="61">
        <v>0</v>
      </c>
      <c r="R112" s="61">
        <v>0</v>
      </c>
      <c r="S112" s="61">
        <v>0</v>
      </c>
      <c r="T112" s="61">
        <v>0</v>
      </c>
      <c r="U112" s="61">
        <v>0</v>
      </c>
      <c r="V112" s="61">
        <v>0</v>
      </c>
      <c r="W112" s="61">
        <v>0</v>
      </c>
      <c r="X112" s="61">
        <v>0</v>
      </c>
      <c r="Y112" s="61">
        <v>0</v>
      </c>
      <c r="AA112" s="61">
        <v>0</v>
      </c>
      <c r="AB112" s="60">
        <v>0</v>
      </c>
      <c r="AD112" s="61">
        <v>0</v>
      </c>
      <c r="AE112" s="60">
        <v>0</v>
      </c>
    </row>
    <row r="113" spans="1:31" ht="18" customHeight="1" x14ac:dyDescent="0.2">
      <c r="A113" s="30" t="s">
        <v>35</v>
      </c>
      <c r="B113" s="30" t="s">
        <v>18</v>
      </c>
      <c r="C113" s="4">
        <v>-10.615</v>
      </c>
      <c r="D113" s="4">
        <v>-9.6789423984891404E-2</v>
      </c>
      <c r="F113" s="106" t="s">
        <v>67</v>
      </c>
      <c r="H113" s="61">
        <v>-0.27500000000000002</v>
      </c>
      <c r="I113" s="61">
        <v>-15.068</v>
      </c>
      <c r="J113" s="61">
        <v>-15.068</v>
      </c>
      <c r="K113" s="86">
        <v>-2</v>
      </c>
      <c r="L113" s="86">
        <v>-21.18</v>
      </c>
      <c r="M113" s="61">
        <v>-1.571</v>
      </c>
      <c r="N113" s="61">
        <v>-2.7720000000000002</v>
      </c>
      <c r="O113" s="61">
        <v>-1.9130000000000003</v>
      </c>
      <c r="P113" s="61">
        <v>-1.8710000000000004</v>
      </c>
      <c r="Q113" s="61">
        <v>0.22700000000000031</v>
      </c>
      <c r="R113" s="61">
        <v>-2.9089999999999989</v>
      </c>
      <c r="S113" s="61">
        <v>-1.8690000000000015</v>
      </c>
      <c r="T113" s="61">
        <v>-1.8709999999999987</v>
      </c>
      <c r="U113" s="61">
        <v>-1.6099999999999994</v>
      </c>
      <c r="V113" s="61">
        <v>-1.9500000000000028</v>
      </c>
      <c r="W113" s="61">
        <v>-1.7859999999999978</v>
      </c>
      <c r="X113" s="61">
        <v>-3.333000000000002</v>
      </c>
      <c r="Y113" s="61">
        <v>-23.228000000000002</v>
      </c>
      <c r="AA113" s="61">
        <v>-2</v>
      </c>
      <c r="AB113" s="60">
        <v>-21.23</v>
      </c>
      <c r="AD113" s="61">
        <v>-21.18</v>
      </c>
      <c r="AE113" s="60">
        <v>-2.0499999999999998</v>
      </c>
    </row>
    <row r="114" spans="1:31" ht="18" hidden="1" customHeight="1" outlineLevel="1" collapsed="1" x14ac:dyDescent="0.2">
      <c r="A114" s="35"/>
      <c r="B114" s="35"/>
      <c r="C114" s="4"/>
      <c r="D114" s="4"/>
      <c r="F114" s="97" t="s">
        <v>453</v>
      </c>
      <c r="H114" s="74">
        <v>1.4363181818181818</v>
      </c>
      <c r="I114" s="74">
        <v>0.80693181818181825</v>
      </c>
      <c r="J114" s="74">
        <v>0.80693181818181825</v>
      </c>
      <c r="K114" s="112">
        <v>0.45454545454545453</v>
      </c>
      <c r="L114" s="112">
        <v>0.10227272727272728</v>
      </c>
      <c r="M114" s="74">
        <v>2.7545454545454547E-2</v>
      </c>
      <c r="N114" s="74">
        <v>0</v>
      </c>
      <c r="O114" s="74">
        <v>0.29454545454545455</v>
      </c>
      <c r="P114" s="74">
        <v>0</v>
      </c>
      <c r="Q114" s="74">
        <v>0</v>
      </c>
      <c r="R114" s="74">
        <v>0.25063636363636366</v>
      </c>
      <c r="S114" s="74">
        <v>-0.24409090909090908</v>
      </c>
      <c r="T114" s="74">
        <v>0</v>
      </c>
      <c r="U114" s="74">
        <v>0</v>
      </c>
      <c r="V114" s="74">
        <v>2.0727272727272728</v>
      </c>
      <c r="W114" s="74">
        <v>-0.23536363636363625</v>
      </c>
      <c r="X114" s="74">
        <v>-0.4802727272727273</v>
      </c>
      <c r="Y114" s="74">
        <v>0.14047727272727273</v>
      </c>
      <c r="AA114" s="74">
        <v>0.45454545454545453</v>
      </c>
      <c r="AB114" s="73">
        <v>-0.31</v>
      </c>
      <c r="AD114" s="74">
        <v>0.10227272727272728</v>
      </c>
      <c r="AE114" s="73">
        <v>0.04</v>
      </c>
    </row>
    <row r="115" spans="1:31" ht="18" customHeight="1" collapsed="1" x14ac:dyDescent="0.2">
      <c r="A115" s="30" t="s">
        <v>20</v>
      </c>
      <c r="B115" s="30" t="s">
        <v>18</v>
      </c>
      <c r="C115" s="4">
        <v>0.69100000000000006</v>
      </c>
      <c r="D115" s="4">
        <v>-0.37333333333333329</v>
      </c>
      <c r="F115" s="106" t="s">
        <v>68</v>
      </c>
      <c r="H115" s="61">
        <v>-63.198</v>
      </c>
      <c r="I115" s="61">
        <v>-35.505000000000003</v>
      </c>
      <c r="J115" s="61">
        <v>-35.505000000000003</v>
      </c>
      <c r="K115" s="86">
        <v>-20</v>
      </c>
      <c r="L115" s="86">
        <v>-4.5</v>
      </c>
      <c r="M115" s="61">
        <v>-0.10100000000000001</v>
      </c>
      <c r="N115" s="61">
        <v>0</v>
      </c>
      <c r="O115" s="61">
        <v>-1.08</v>
      </c>
      <c r="P115" s="61">
        <v>0</v>
      </c>
      <c r="Q115" s="61">
        <v>0</v>
      </c>
      <c r="R115" s="61">
        <v>-0.91900000000000004</v>
      </c>
      <c r="S115" s="61">
        <v>0.89500000000000002</v>
      </c>
      <c r="T115" s="61">
        <v>0</v>
      </c>
      <c r="U115" s="61">
        <v>0</v>
      </c>
      <c r="V115" s="61">
        <v>-7.6</v>
      </c>
      <c r="W115" s="61">
        <v>0.86299999999999955</v>
      </c>
      <c r="X115" s="61">
        <v>1.7610000000000001</v>
      </c>
      <c r="Y115" s="61">
        <v>-6.181</v>
      </c>
      <c r="AA115" s="61">
        <v>-20</v>
      </c>
      <c r="AB115" s="60">
        <v>13.82</v>
      </c>
      <c r="AD115" s="61">
        <v>-4.5</v>
      </c>
      <c r="AE115" s="60">
        <v>-1.68</v>
      </c>
    </row>
    <row r="116" spans="1:31" ht="18" customHeight="1" x14ac:dyDescent="0.2">
      <c r="A116" s="35"/>
      <c r="B116" s="35"/>
      <c r="C116" s="4">
        <v>-3.0618712999875366E-2</v>
      </c>
      <c r="D116" s="4">
        <v>-2.3064069434382471E-2</v>
      </c>
      <c r="F116" s="95" t="s">
        <v>275</v>
      </c>
      <c r="H116" s="198">
        <v>-6934.7559999999994</v>
      </c>
      <c r="I116" s="198">
        <v>-7006.0749999999998</v>
      </c>
      <c r="J116" s="198">
        <v>-7006.0749999999998</v>
      </c>
      <c r="K116" s="89">
        <v>-6888.92443</v>
      </c>
      <c r="L116" s="89">
        <v>-6939.7987400000002</v>
      </c>
      <c r="M116" s="64">
        <v>-595.64</v>
      </c>
      <c r="N116" s="64">
        <v>-579.43099999999993</v>
      </c>
      <c r="O116" s="64">
        <v>-591.31500000000028</v>
      </c>
      <c r="P116" s="64">
        <v>-597.42300000000012</v>
      </c>
      <c r="Q116" s="64">
        <v>-502.00499999999977</v>
      </c>
      <c r="R116" s="64">
        <v>-668.05399999999997</v>
      </c>
      <c r="S116" s="64">
        <v>-515.93200000000013</v>
      </c>
      <c r="T116" s="64">
        <v>-415.69200000000001</v>
      </c>
      <c r="U116" s="64">
        <v>-665.68499999999972</v>
      </c>
      <c r="V116" s="64">
        <v>-634.8640000000006</v>
      </c>
      <c r="W116" s="64">
        <v>-619.67999999999961</v>
      </c>
      <c r="X116" s="64">
        <v>-714.13499999999976</v>
      </c>
      <c r="Y116" s="64">
        <v>-7099.8559999999989</v>
      </c>
      <c r="AA116" s="64">
        <v>-6888.92443</v>
      </c>
      <c r="AB116" s="60">
        <v>-210.93</v>
      </c>
      <c r="AD116" s="64">
        <v>-6939.7987400000011</v>
      </c>
      <c r="AE116" s="60">
        <v>-160.06</v>
      </c>
    </row>
    <row r="117" spans="1:31" ht="12.95" customHeight="1" x14ac:dyDescent="0.2">
      <c r="A117" s="35"/>
      <c r="B117" s="35"/>
      <c r="C117" s="4"/>
      <c r="D117" s="4"/>
      <c r="F117" s="39" t="s">
        <v>223</v>
      </c>
      <c r="H117" s="56">
        <v>0.40778141347479496</v>
      </c>
      <c r="I117" s="56">
        <v>0.39863767062900829</v>
      </c>
      <c r="J117" s="56">
        <v>0.39863767062900829</v>
      </c>
      <c r="K117" s="109">
        <v>0.39692040946917634</v>
      </c>
      <c r="L117" s="109">
        <v>0.38544572175332681</v>
      </c>
      <c r="M117" s="56">
        <v>0.42992560534527069</v>
      </c>
      <c r="N117" s="56">
        <v>0.42143961131294611</v>
      </c>
      <c r="O117" s="56">
        <v>0.41456631139989902</v>
      </c>
      <c r="P117" s="56">
        <v>0.39078926711844897</v>
      </c>
      <c r="Q117" s="56">
        <v>0.3079983679930301</v>
      </c>
      <c r="R117" s="56">
        <v>0.42621087056103468</v>
      </c>
      <c r="S117" s="56">
        <v>0.35232400598756608</v>
      </c>
      <c r="T117" s="56">
        <v>0.2743973802037985</v>
      </c>
      <c r="U117" s="56">
        <v>0.43907665843063293</v>
      </c>
      <c r="V117" s="56">
        <v>0.4029518899318521</v>
      </c>
      <c r="W117" s="56">
        <v>0.39175399811228762</v>
      </c>
      <c r="X117" s="56">
        <v>0.44072341502249462</v>
      </c>
      <c r="Y117" s="56">
        <v>0.39040507822831677</v>
      </c>
      <c r="AA117" s="56">
        <v>0.39692040946917634</v>
      </c>
      <c r="AB117" s="57"/>
      <c r="AD117" s="56">
        <v>0.38544572175332686</v>
      </c>
      <c r="AE117" s="57"/>
    </row>
    <row r="118" spans="1:31" ht="6.95" customHeight="1" x14ac:dyDescent="0.2">
      <c r="C118" s="4"/>
      <c r="D118" s="4"/>
      <c r="F118" s="99"/>
      <c r="H118" s="16"/>
      <c r="I118" s="16"/>
      <c r="J118" s="16"/>
      <c r="K118" s="85"/>
      <c r="L118" s="85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AA118" s="16"/>
      <c r="AB118" s="20"/>
      <c r="AD118" s="16"/>
      <c r="AE118" s="20"/>
    </row>
    <row r="119" spans="1:31" ht="18" customHeight="1" x14ac:dyDescent="0.2">
      <c r="A119" s="30" t="s">
        <v>70</v>
      </c>
      <c r="B119" s="30" t="s">
        <v>18</v>
      </c>
      <c r="C119" s="4"/>
      <c r="D119" s="4"/>
      <c r="F119" s="97" t="s">
        <v>225</v>
      </c>
      <c r="H119" s="74">
        <v>146.36500000000001</v>
      </c>
      <c r="I119" s="74">
        <v>146.68199999999999</v>
      </c>
      <c r="J119" s="74">
        <v>146.68199999999999</v>
      </c>
      <c r="K119" s="112">
        <v>146</v>
      </c>
      <c r="L119" s="112">
        <v>153</v>
      </c>
      <c r="M119" s="74">
        <v>146.148</v>
      </c>
      <c r="N119" s="74">
        <v>142.40400000000002</v>
      </c>
      <c r="O119" s="74">
        <v>144.14400000000001</v>
      </c>
      <c r="P119" s="74">
        <v>146.49599999999998</v>
      </c>
      <c r="Q119" s="74">
        <v>147.83999999999992</v>
      </c>
      <c r="R119" s="74">
        <v>142.69200000000012</v>
      </c>
      <c r="S119" s="74">
        <v>143.01599999999996</v>
      </c>
      <c r="T119" s="74">
        <v>142.99199999999996</v>
      </c>
      <c r="U119" s="74">
        <v>135.57600000000002</v>
      </c>
      <c r="V119" s="74">
        <v>144.52800000000002</v>
      </c>
      <c r="W119" s="74">
        <v>147.41999999999985</v>
      </c>
      <c r="X119" s="74">
        <v>143.67600000000016</v>
      </c>
      <c r="Y119" s="74">
        <v>143.911</v>
      </c>
      <c r="AA119" s="74">
        <v>146</v>
      </c>
      <c r="AB119" s="73">
        <v>-2.09</v>
      </c>
      <c r="AD119" s="74">
        <v>153</v>
      </c>
      <c r="AE119" s="73">
        <v>-9.09</v>
      </c>
    </row>
    <row r="120" spans="1:31" ht="12.95" customHeight="1" x14ac:dyDescent="0.2">
      <c r="A120" s="35"/>
      <c r="B120" s="35"/>
      <c r="C120" s="4"/>
      <c r="D120" s="4"/>
      <c r="F120" s="39" t="s">
        <v>71</v>
      </c>
      <c r="H120" s="132">
        <v>-7355.8364363064939</v>
      </c>
      <c r="I120" s="132">
        <v>-7569.1564063756978</v>
      </c>
      <c r="J120" s="132">
        <v>-7569.1564063756978</v>
      </c>
      <c r="K120" s="133">
        <v>-7920.5479452054778</v>
      </c>
      <c r="L120" s="133">
        <v>-8396.7320261437908</v>
      </c>
      <c r="M120" s="132">
        <v>-658.79793086460302</v>
      </c>
      <c r="N120" s="132">
        <v>-689.46799247212141</v>
      </c>
      <c r="O120" s="132">
        <v>-939.37312687312681</v>
      </c>
      <c r="P120" s="132">
        <v>-802.84103320227177</v>
      </c>
      <c r="Q120" s="132">
        <v>-727.00892857142901</v>
      </c>
      <c r="R120" s="132">
        <v>-722.96975303450733</v>
      </c>
      <c r="S120" s="132">
        <v>-654.48621133299775</v>
      </c>
      <c r="T120" s="132">
        <v>-585.42435940472205</v>
      </c>
      <c r="U120" s="132">
        <v>-770.24694636218794</v>
      </c>
      <c r="V120" s="132">
        <v>-863.83953282408936</v>
      </c>
      <c r="W120" s="132">
        <v>-934.54076787410236</v>
      </c>
      <c r="X120" s="132">
        <v>-745.99097970433377</v>
      </c>
      <c r="Y120" s="132">
        <v>-9100.5274093015832</v>
      </c>
      <c r="AA120" s="132">
        <v>-7920.5479452054778</v>
      </c>
      <c r="AB120" s="134">
        <v>-1179.98</v>
      </c>
      <c r="AD120" s="132">
        <v>-8396.7320261437908</v>
      </c>
      <c r="AE120" s="134">
        <v>-703.8</v>
      </c>
    </row>
    <row r="121" spans="1:31" ht="18" customHeight="1" x14ac:dyDescent="0.2">
      <c r="A121" s="30" t="s">
        <v>63</v>
      </c>
      <c r="B121" s="30" t="s">
        <v>18</v>
      </c>
      <c r="C121" s="4">
        <v>8.8292133876996262E-2</v>
      </c>
      <c r="D121" s="4">
        <v>2.5701836007534663E-2</v>
      </c>
      <c r="F121" s="106" t="s">
        <v>401</v>
      </c>
      <c r="H121" s="61">
        <v>-274.09100000000001</v>
      </c>
      <c r="I121" s="61">
        <v>-296.173</v>
      </c>
      <c r="J121" s="61">
        <v>-296.173</v>
      </c>
      <c r="K121" s="86">
        <v>-376.70400000000001</v>
      </c>
      <c r="L121" s="86">
        <v>-352.50400000000002</v>
      </c>
      <c r="M121" s="61">
        <v>-25.686</v>
      </c>
      <c r="N121" s="61">
        <v>-29.127000000000002</v>
      </c>
      <c r="O121" s="61">
        <v>-30.248000000000005</v>
      </c>
      <c r="P121" s="61">
        <v>-26.075999999999993</v>
      </c>
      <c r="Q121" s="61">
        <v>-31.443000000000012</v>
      </c>
      <c r="R121" s="61">
        <v>-28.600999999999999</v>
      </c>
      <c r="S121" s="61">
        <v>-27.015999999999991</v>
      </c>
      <c r="T121" s="61">
        <v>-28.022999999999996</v>
      </c>
      <c r="U121" s="61">
        <v>-27.754999999999995</v>
      </c>
      <c r="V121" s="61">
        <v>-28.171000000000021</v>
      </c>
      <c r="W121" s="61">
        <v>-30.699000000000012</v>
      </c>
      <c r="X121" s="61">
        <v>-30.601999999999975</v>
      </c>
      <c r="Y121" s="61">
        <v>-343.447</v>
      </c>
      <c r="AA121" s="61">
        <v>-376.70400000000001</v>
      </c>
      <c r="AB121" s="60">
        <v>33.26</v>
      </c>
      <c r="AD121" s="61">
        <v>-352.50400000000008</v>
      </c>
      <c r="AE121" s="60">
        <v>9.06</v>
      </c>
    </row>
    <row r="122" spans="1:31" ht="18" customHeight="1" x14ac:dyDescent="0.2">
      <c r="A122" s="30" t="s">
        <v>148</v>
      </c>
      <c r="B122" s="30" t="s">
        <v>18</v>
      </c>
      <c r="C122" s="4">
        <v>-1.0001009183570491</v>
      </c>
      <c r="D122" s="4">
        <v>-7.2583333333333346</v>
      </c>
      <c r="F122" s="106" t="s">
        <v>149</v>
      </c>
      <c r="H122" s="61">
        <v>-6.1559999999999997</v>
      </c>
      <c r="I122" s="61">
        <v>-7.8789999999999996</v>
      </c>
      <c r="J122" s="61">
        <v>-7.8789999999999996</v>
      </c>
      <c r="K122" s="86">
        <v>0</v>
      </c>
      <c r="L122" s="86">
        <v>-2.4</v>
      </c>
      <c r="M122" s="61">
        <v>0</v>
      </c>
      <c r="N122" s="61">
        <v>-0.2</v>
      </c>
      <c r="O122" s="61">
        <v>-0.33600000000000002</v>
      </c>
      <c r="P122" s="61">
        <v>0</v>
      </c>
      <c r="Q122" s="61">
        <v>-0.246</v>
      </c>
      <c r="R122" s="61">
        <v>0</v>
      </c>
      <c r="S122" s="61">
        <v>0</v>
      </c>
      <c r="T122" s="61">
        <v>0</v>
      </c>
      <c r="U122" s="61">
        <v>0</v>
      </c>
      <c r="V122" s="61">
        <v>0</v>
      </c>
      <c r="W122" s="61">
        <v>-10.297000000000001</v>
      </c>
      <c r="X122" s="61">
        <v>-8.7390000000000008</v>
      </c>
      <c r="Y122" s="61">
        <v>-19.818000000000001</v>
      </c>
      <c r="AA122" s="61">
        <v>0</v>
      </c>
      <c r="AB122" s="60">
        <v>-19.82</v>
      </c>
      <c r="AD122" s="61">
        <v>-2.4</v>
      </c>
      <c r="AE122" s="60">
        <v>-17.420000000000002</v>
      </c>
    </row>
    <row r="123" spans="1:31" ht="18" customHeight="1" x14ac:dyDescent="0.2">
      <c r="A123" s="30" t="s">
        <v>64</v>
      </c>
      <c r="B123" s="30" t="s">
        <v>18</v>
      </c>
      <c r="C123" s="4">
        <v>-4.1115621963190796E-2</v>
      </c>
      <c r="D123" s="4">
        <v>-1.1187182890078142E-2</v>
      </c>
      <c r="F123" s="106" t="s">
        <v>202</v>
      </c>
      <c r="H123" s="61">
        <v>-318.98899999999998</v>
      </c>
      <c r="I123" s="61">
        <v>-408.83199999999999</v>
      </c>
      <c r="J123" s="61">
        <v>-408.83199999999999</v>
      </c>
      <c r="K123" s="86">
        <v>-405.44200000000001</v>
      </c>
      <c r="L123" s="86">
        <v>-417.44200000000001</v>
      </c>
      <c r="M123" s="61">
        <v>-36.956000000000003</v>
      </c>
      <c r="N123" s="61">
        <v>-37.936999999999998</v>
      </c>
      <c r="O123" s="61">
        <v>-33.819000000000003</v>
      </c>
      <c r="P123" s="61">
        <v>-40.072999999999993</v>
      </c>
      <c r="Q123" s="61">
        <v>-26.695999999999998</v>
      </c>
      <c r="R123" s="61">
        <v>-37.405000000000001</v>
      </c>
      <c r="S123" s="61">
        <v>-36.070999999999998</v>
      </c>
      <c r="T123" s="61">
        <v>-17.456999999999994</v>
      </c>
      <c r="U123" s="61">
        <v>-35.494000000000028</v>
      </c>
      <c r="V123" s="61">
        <v>-39.668999999999983</v>
      </c>
      <c r="W123" s="61">
        <v>-38.781000000000006</v>
      </c>
      <c r="X123" s="61">
        <v>-41.75</v>
      </c>
      <c r="Y123" s="61">
        <v>-422.108</v>
      </c>
      <c r="AA123" s="61">
        <v>-405.44200000000001</v>
      </c>
      <c r="AB123" s="60">
        <v>-16.670000000000002</v>
      </c>
      <c r="AD123" s="61">
        <v>-417.44200000000001</v>
      </c>
      <c r="AE123" s="60">
        <v>-4.67</v>
      </c>
    </row>
    <row r="124" spans="1:31" ht="18" hidden="1" customHeight="1" outlineLevel="1" x14ac:dyDescent="0.2">
      <c r="A124" s="30" t="s">
        <v>150</v>
      </c>
      <c r="B124" s="30" t="s">
        <v>18</v>
      </c>
      <c r="C124" s="4">
        <v>-23.415697674418603</v>
      </c>
      <c r="D124" s="4">
        <v>-0.47668234363324691</v>
      </c>
      <c r="F124" s="38" t="s">
        <v>151</v>
      </c>
      <c r="G124" s="34"/>
      <c r="H124" s="66">
        <v>-127.965</v>
      </c>
      <c r="I124" s="66">
        <v>-127.116</v>
      </c>
      <c r="J124" s="66">
        <v>-127.116</v>
      </c>
      <c r="K124" s="86">
        <v>-5.5039999999999996</v>
      </c>
      <c r="L124" s="86">
        <v>-91.004000000000005</v>
      </c>
      <c r="M124" s="66">
        <v>-14.676</v>
      </c>
      <c r="N124" s="66">
        <v>-11.930000000000001</v>
      </c>
      <c r="O124" s="66">
        <v>-8.0139999999999958</v>
      </c>
      <c r="P124" s="66">
        <v>-3.7070000000000007</v>
      </c>
      <c r="Q124" s="66">
        <v>-9.9080000000000013</v>
      </c>
      <c r="R124" s="66">
        <v>-9.0030000000000001</v>
      </c>
      <c r="S124" s="66">
        <v>-1.8430000000000035</v>
      </c>
      <c r="T124" s="66">
        <v>-4.6280000000000001</v>
      </c>
      <c r="U124" s="66">
        <v>-12.674999999999997</v>
      </c>
      <c r="V124" s="66">
        <v>-19.14</v>
      </c>
      <c r="W124" s="66">
        <v>-27.548000000000002</v>
      </c>
      <c r="X124" s="66">
        <v>-11.306999999999988</v>
      </c>
      <c r="Y124" s="66">
        <v>-134.37899999999999</v>
      </c>
      <c r="Z124" s="34"/>
      <c r="AA124" s="66">
        <v>-5.5040000000000004</v>
      </c>
      <c r="AB124" s="60">
        <v>-128.88</v>
      </c>
      <c r="AC124" s="34"/>
      <c r="AD124" s="66">
        <v>-91.004000000000005</v>
      </c>
      <c r="AE124" s="60">
        <v>-43.38</v>
      </c>
    </row>
    <row r="125" spans="1:31" ht="18" hidden="1" customHeight="1" outlineLevel="1" x14ac:dyDescent="0.2">
      <c r="A125" s="30" t="s">
        <v>168</v>
      </c>
      <c r="B125" s="30" t="s">
        <v>18</v>
      </c>
      <c r="C125" s="4">
        <v>0.18975071785211331</v>
      </c>
      <c r="D125" s="4">
        <v>0.18975071785211331</v>
      </c>
      <c r="F125" s="38" t="s">
        <v>169</v>
      </c>
      <c r="G125" s="34"/>
      <c r="H125" s="66">
        <v>-76.572000000000003</v>
      </c>
      <c r="I125" s="66">
        <v>-92.649000000000001</v>
      </c>
      <c r="J125" s="66">
        <v>-92.649000000000001</v>
      </c>
      <c r="K125" s="86">
        <v>-109.354</v>
      </c>
      <c r="L125" s="86">
        <v>-109.354</v>
      </c>
      <c r="M125" s="66">
        <v>-6.2649999999999997</v>
      </c>
      <c r="N125" s="66">
        <v>-7.2630000000000008</v>
      </c>
      <c r="O125" s="66">
        <v>-7.5119999999999987</v>
      </c>
      <c r="P125" s="66">
        <v>-7.6760000000000019</v>
      </c>
      <c r="Q125" s="66">
        <v>-7.5689999999999955</v>
      </c>
      <c r="R125" s="66">
        <v>-6.8460000000000036</v>
      </c>
      <c r="S125" s="66">
        <v>-6.5409999999999968</v>
      </c>
      <c r="T125" s="66">
        <v>-7.0620000000000047</v>
      </c>
      <c r="U125" s="66">
        <v>-7.097999999999999</v>
      </c>
      <c r="V125" s="66">
        <v>-6.8789999999999978</v>
      </c>
      <c r="W125" s="66">
        <v>-8.3490000000000038</v>
      </c>
      <c r="X125" s="66">
        <v>-9.5409999999999968</v>
      </c>
      <c r="Y125" s="66">
        <v>-88.600999999999999</v>
      </c>
      <c r="Z125" s="34"/>
      <c r="AA125" s="66">
        <v>-109.354</v>
      </c>
      <c r="AB125" s="60">
        <v>20.75</v>
      </c>
      <c r="AC125" s="34"/>
      <c r="AD125" s="66">
        <v>-109.354</v>
      </c>
      <c r="AE125" s="60">
        <v>20.75</v>
      </c>
    </row>
    <row r="126" spans="1:31" ht="18" hidden="1" customHeight="1" outlineLevel="1" x14ac:dyDescent="0.2">
      <c r="A126" s="30" t="s">
        <v>170</v>
      </c>
      <c r="B126" s="30" t="s">
        <v>18</v>
      </c>
      <c r="C126" s="4">
        <v>-6.5379825653798254E-2</v>
      </c>
      <c r="D126" s="4">
        <v>1.1554015020219527E-2</v>
      </c>
      <c r="F126" s="38" t="s">
        <v>171</v>
      </c>
      <c r="G126" s="34"/>
      <c r="H126" s="66">
        <v>-20.361000000000001</v>
      </c>
      <c r="I126" s="66">
        <v>-25.355</v>
      </c>
      <c r="J126" s="66">
        <v>-25.355</v>
      </c>
      <c r="K126" s="86">
        <v>-25.696000000000002</v>
      </c>
      <c r="L126" s="86">
        <v>-27.696000000000002</v>
      </c>
      <c r="M126" s="66">
        <v>-2.6190000000000002</v>
      </c>
      <c r="N126" s="66">
        <v>-2.1259999999999999</v>
      </c>
      <c r="O126" s="66">
        <v>-1.9749999999999996</v>
      </c>
      <c r="P126" s="66">
        <v>-1.535000000000001</v>
      </c>
      <c r="Q126" s="66">
        <v>-2.5039999999999996</v>
      </c>
      <c r="R126" s="66">
        <v>-1.8189999999999991</v>
      </c>
      <c r="S126" s="66">
        <v>-1.0460000000000012</v>
      </c>
      <c r="T126" s="66">
        <v>0</v>
      </c>
      <c r="U126" s="66">
        <v>-6.3100000000000005</v>
      </c>
      <c r="V126" s="66">
        <v>-2.1690000000000005</v>
      </c>
      <c r="W126" s="66">
        <v>-3.509999999999998</v>
      </c>
      <c r="X126" s="66">
        <v>-1.7620000000000005</v>
      </c>
      <c r="Y126" s="66">
        <v>-27.375</v>
      </c>
      <c r="Z126" s="34"/>
      <c r="AA126" s="66">
        <v>-25.696000000000002</v>
      </c>
      <c r="AB126" s="60">
        <v>-1.68</v>
      </c>
      <c r="AC126" s="34"/>
      <c r="AD126" s="66">
        <v>-27.696000000000002</v>
      </c>
      <c r="AE126" s="60">
        <v>0.32</v>
      </c>
    </row>
    <row r="127" spans="1:31" ht="18" customHeight="1" collapsed="1" x14ac:dyDescent="0.2">
      <c r="A127" s="35"/>
      <c r="B127" s="35"/>
      <c r="C127" s="4">
        <v>-0.78119441638089271</v>
      </c>
      <c r="D127" s="4">
        <v>-9.7783858209020677E-2</v>
      </c>
      <c r="F127" s="106" t="s">
        <v>151</v>
      </c>
      <c r="H127" s="61">
        <v>-224.898</v>
      </c>
      <c r="I127" s="61">
        <v>-245.11999999999998</v>
      </c>
      <c r="J127" s="61">
        <v>-245.11999999999998</v>
      </c>
      <c r="K127" s="86">
        <v>-140.554</v>
      </c>
      <c r="L127" s="86">
        <v>-228.054</v>
      </c>
      <c r="M127" s="61">
        <v>-23.56</v>
      </c>
      <c r="N127" s="61">
        <v>-21.319000000000003</v>
      </c>
      <c r="O127" s="61">
        <v>-17.500999999999994</v>
      </c>
      <c r="P127" s="61">
        <v>-12.918000000000003</v>
      </c>
      <c r="Q127" s="61">
        <v>-19.980999999999995</v>
      </c>
      <c r="R127" s="61">
        <v>-17.668000000000003</v>
      </c>
      <c r="S127" s="61">
        <v>-9.4300000000000015</v>
      </c>
      <c r="T127" s="61">
        <v>-11.690000000000005</v>
      </c>
      <c r="U127" s="61">
        <v>-26.082999999999998</v>
      </c>
      <c r="V127" s="61">
        <v>-28.187999999999999</v>
      </c>
      <c r="W127" s="61">
        <v>-39.407000000000004</v>
      </c>
      <c r="X127" s="61">
        <v>-22.609999999999985</v>
      </c>
      <c r="Y127" s="61">
        <v>-250.35499999999999</v>
      </c>
      <c r="AA127" s="61">
        <v>-140.554</v>
      </c>
      <c r="AB127" s="60">
        <v>-109.8</v>
      </c>
      <c r="AD127" s="61">
        <v>-228.054</v>
      </c>
      <c r="AE127" s="60">
        <v>-22.3</v>
      </c>
    </row>
    <row r="128" spans="1:31" ht="18" customHeight="1" collapsed="1" x14ac:dyDescent="0.2">
      <c r="A128" s="30" t="s">
        <v>146</v>
      </c>
      <c r="B128" s="30" t="s">
        <v>18</v>
      </c>
      <c r="C128" s="4">
        <v>0.17505612859141639</v>
      </c>
      <c r="D128" s="4">
        <v>5.1621591291661988E-2</v>
      </c>
      <c r="F128" s="106" t="s">
        <v>147</v>
      </c>
      <c r="H128" s="61">
        <v>-66.909000000000006</v>
      </c>
      <c r="I128" s="61">
        <v>-57.51</v>
      </c>
      <c r="J128" s="61">
        <v>-57.51</v>
      </c>
      <c r="K128" s="86">
        <v>-61.466000000000001</v>
      </c>
      <c r="L128" s="86">
        <v>-53.466000000000001</v>
      </c>
      <c r="M128" s="61">
        <v>-2.129</v>
      </c>
      <c r="N128" s="61">
        <v>-4.1300000000000008</v>
      </c>
      <c r="O128" s="61">
        <v>-4.1289999999999996</v>
      </c>
      <c r="P128" s="61">
        <v>-8.1300000000000008</v>
      </c>
      <c r="Q128" s="61">
        <v>-2.129999999999999</v>
      </c>
      <c r="R128" s="61">
        <v>-1.4059999999999988</v>
      </c>
      <c r="S128" s="61">
        <v>-2.0600000000000023</v>
      </c>
      <c r="T128" s="61">
        <v>-6.0090000000000003</v>
      </c>
      <c r="U128" s="61">
        <v>-2.0079999999999991</v>
      </c>
      <c r="V128" s="61">
        <v>-9.5300000000000011</v>
      </c>
      <c r="W128" s="61">
        <v>-11.234999999999999</v>
      </c>
      <c r="X128" s="61">
        <v>2.1890000000000001</v>
      </c>
      <c r="Y128" s="61">
        <v>-50.707000000000001</v>
      </c>
      <c r="AA128" s="61">
        <v>-61.466000000000001</v>
      </c>
      <c r="AB128" s="60">
        <v>10.76</v>
      </c>
      <c r="AD128" s="61">
        <v>-53.466000000000001</v>
      </c>
      <c r="AE128" s="60">
        <v>2.76</v>
      </c>
    </row>
    <row r="129" spans="1:31" ht="18" hidden="1" customHeight="1" outlineLevel="1" x14ac:dyDescent="0.2">
      <c r="A129" s="30" t="s">
        <v>154</v>
      </c>
      <c r="B129" s="30" t="s">
        <v>18</v>
      </c>
      <c r="C129" s="4">
        <v>-0.1363624257597145</v>
      </c>
      <c r="D129" s="4">
        <v>0.11012159259182014</v>
      </c>
      <c r="F129" s="38" t="s">
        <v>155</v>
      </c>
      <c r="G129" s="34"/>
      <c r="H129" s="66">
        <v>-78.081000000000003</v>
      </c>
      <c r="I129" s="66">
        <v>-39.67</v>
      </c>
      <c r="J129" s="66">
        <v>-39.67</v>
      </c>
      <c r="K129" s="86">
        <v>-75.093999999999994</v>
      </c>
      <c r="L129" s="86">
        <v>-95.894000000000005</v>
      </c>
      <c r="M129" s="66">
        <v>-2</v>
      </c>
      <c r="N129" s="66">
        <v>3.161</v>
      </c>
      <c r="O129" s="66">
        <v>-7.4760000000000009</v>
      </c>
      <c r="P129" s="66">
        <v>-7.1479999999999979</v>
      </c>
      <c r="Q129" s="66">
        <v>-7.3080000000000016</v>
      </c>
      <c r="R129" s="66">
        <v>-8.1159999999999997</v>
      </c>
      <c r="S129" s="66">
        <v>-9.769999999999996</v>
      </c>
      <c r="T129" s="66">
        <v>-11.863000000000007</v>
      </c>
      <c r="U129" s="66">
        <v>-10.667999999999999</v>
      </c>
      <c r="V129" s="66">
        <v>-18.164000000000001</v>
      </c>
      <c r="W129" s="66">
        <v>-5.0919999999999987</v>
      </c>
      <c r="X129" s="66">
        <v>-0.89399999999999125</v>
      </c>
      <c r="Y129" s="66">
        <v>-85.337999999999994</v>
      </c>
      <c r="Z129" s="34"/>
      <c r="AA129" s="66">
        <v>-75.093999999999994</v>
      </c>
      <c r="AB129" s="60">
        <v>-10.24</v>
      </c>
      <c r="AC129" s="34"/>
      <c r="AD129" s="66">
        <v>-95.894000000000005</v>
      </c>
      <c r="AE129" s="60">
        <v>10.56</v>
      </c>
    </row>
    <row r="130" spans="1:31" ht="18" hidden="1" customHeight="1" outlineLevel="1" x14ac:dyDescent="0.2">
      <c r="A130" s="30" t="s">
        <v>156</v>
      </c>
      <c r="B130" s="30" t="s">
        <v>18</v>
      </c>
      <c r="C130" s="4">
        <v>-1.0153456011444177</v>
      </c>
      <c r="D130" s="4">
        <v>3.5326340689097083E-2</v>
      </c>
      <c r="F130" s="38" t="s">
        <v>157</v>
      </c>
      <c r="G130" s="34"/>
      <c r="H130" s="66">
        <v>-95.304000000000002</v>
      </c>
      <c r="I130" s="66">
        <v>-52.857999999999997</v>
      </c>
      <c r="J130" s="66">
        <v>-52.857999999999997</v>
      </c>
      <c r="K130" s="86">
        <v>-61.515999999999998</v>
      </c>
      <c r="L130" s="86">
        <v>-128.51599999999999</v>
      </c>
      <c r="M130" s="66">
        <v>-5.5</v>
      </c>
      <c r="N130" s="66">
        <v>-5.5</v>
      </c>
      <c r="O130" s="66">
        <v>-41.77</v>
      </c>
      <c r="P130" s="66">
        <v>-21.329999999999991</v>
      </c>
      <c r="Q130" s="66">
        <v>-15.372</v>
      </c>
      <c r="R130" s="66">
        <v>-9.3030000000000115</v>
      </c>
      <c r="S130" s="66">
        <v>-9.0439999999999969</v>
      </c>
      <c r="T130" s="66">
        <v>-6.1219999999999999</v>
      </c>
      <c r="U130" s="66">
        <v>-2.2000000000000028</v>
      </c>
      <c r="V130" s="66">
        <v>-1.0999999999999943</v>
      </c>
      <c r="W130" s="66">
        <v>-3.2069999999999936</v>
      </c>
      <c r="X130" s="66">
        <v>-3.527000000000001</v>
      </c>
      <c r="Y130" s="66">
        <v>-123.97499999999999</v>
      </c>
      <c r="Z130" s="34"/>
      <c r="AA130" s="66">
        <v>-61.515999999999998</v>
      </c>
      <c r="AB130" s="60">
        <v>-62.46</v>
      </c>
      <c r="AC130" s="34"/>
      <c r="AD130" s="66">
        <v>-128.51599999999999</v>
      </c>
      <c r="AE130" s="60">
        <v>4.54</v>
      </c>
    </row>
    <row r="131" spans="1:31" ht="18" hidden="1" customHeight="1" outlineLevel="1" x14ac:dyDescent="0.2">
      <c r="A131" s="30" t="s">
        <v>160</v>
      </c>
      <c r="B131" s="30" t="s">
        <v>18</v>
      </c>
      <c r="C131" s="4">
        <v>1.0005422993492408</v>
      </c>
      <c r="D131" s="4">
        <v>1.0005422993492408</v>
      </c>
      <c r="F131" s="38" t="s">
        <v>161</v>
      </c>
      <c r="G131" s="34"/>
      <c r="H131" s="66">
        <v>6.758</v>
      </c>
      <c r="I131" s="66">
        <v>12.467000000000001</v>
      </c>
      <c r="J131" s="66">
        <v>12.467000000000001</v>
      </c>
      <c r="K131" s="86">
        <v>0</v>
      </c>
      <c r="L131" s="8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3.6880000000000002</v>
      </c>
      <c r="X131" s="66">
        <v>0</v>
      </c>
      <c r="Y131" s="66">
        <v>3.6880000000000002</v>
      </c>
      <c r="Z131" s="34"/>
      <c r="AA131" s="66">
        <v>0</v>
      </c>
      <c r="AB131" s="60">
        <v>3.69</v>
      </c>
      <c r="AC131" s="34"/>
      <c r="AD131" s="66">
        <v>0</v>
      </c>
      <c r="AE131" s="60">
        <v>3.69</v>
      </c>
    </row>
    <row r="132" spans="1:31" ht="18" customHeight="1" collapsed="1" x14ac:dyDescent="0.2">
      <c r="A132" s="35"/>
      <c r="B132" s="35"/>
      <c r="C132" s="4">
        <v>-0.50523387746138648</v>
      </c>
      <c r="D132" s="4">
        <v>8.3730671538701479E-2</v>
      </c>
      <c r="F132" s="106" t="s">
        <v>378</v>
      </c>
      <c r="H132" s="61">
        <v>-166.62699999999998</v>
      </c>
      <c r="I132" s="61">
        <v>-80.060999999999993</v>
      </c>
      <c r="J132" s="61">
        <v>-80.060999999999993</v>
      </c>
      <c r="K132" s="86">
        <v>-136.60999999999999</v>
      </c>
      <c r="L132" s="86">
        <v>-224.41</v>
      </c>
      <c r="M132" s="61">
        <v>-7.5</v>
      </c>
      <c r="N132" s="61">
        <v>-2.339</v>
      </c>
      <c r="O132" s="61">
        <v>-49.246000000000002</v>
      </c>
      <c r="P132" s="61">
        <v>-28.477999999999987</v>
      </c>
      <c r="Q132" s="61">
        <v>-22.68</v>
      </c>
      <c r="R132" s="61">
        <v>-17.419000000000011</v>
      </c>
      <c r="S132" s="61">
        <v>-18.813999999999993</v>
      </c>
      <c r="T132" s="61">
        <v>-17.985000000000007</v>
      </c>
      <c r="U132" s="61">
        <v>-12.868000000000002</v>
      </c>
      <c r="V132" s="61">
        <v>-19.263999999999996</v>
      </c>
      <c r="W132" s="61">
        <v>-4.6109999999999918</v>
      </c>
      <c r="X132" s="61">
        <v>-4.4209999999999923</v>
      </c>
      <c r="Y132" s="61">
        <v>-205.625</v>
      </c>
      <c r="AA132" s="61">
        <v>-136.60999999999999</v>
      </c>
      <c r="AB132" s="60">
        <v>-69.02</v>
      </c>
      <c r="AD132" s="61">
        <v>-224.41</v>
      </c>
      <c r="AE132" s="60">
        <v>18.79</v>
      </c>
    </row>
    <row r="133" spans="1:31" ht="18" hidden="1" customHeight="1" outlineLevel="1" x14ac:dyDescent="0.2">
      <c r="A133" s="30" t="s">
        <v>158</v>
      </c>
      <c r="B133" s="30" t="s">
        <v>18</v>
      </c>
      <c r="C133" s="4">
        <v>0.93728946777453392</v>
      </c>
      <c r="D133" s="4">
        <v>-0.5688202247191011</v>
      </c>
      <c r="F133" s="38" t="s">
        <v>159</v>
      </c>
      <c r="G133" s="34"/>
      <c r="H133" s="66">
        <v>-4.7300000000000004</v>
      </c>
      <c r="I133" s="66">
        <v>-3.98</v>
      </c>
      <c r="J133" s="66">
        <v>-3.98</v>
      </c>
      <c r="K133" s="86">
        <v>-35.624000000000002</v>
      </c>
      <c r="L133" s="86">
        <v>-1.4239999999999999</v>
      </c>
      <c r="M133" s="66">
        <v>-0.45100000000000001</v>
      </c>
      <c r="N133" s="66">
        <v>-0.45900000000000002</v>
      </c>
      <c r="O133" s="66">
        <v>-0.1369999999999999</v>
      </c>
      <c r="P133" s="66">
        <v>-0.17000000000000015</v>
      </c>
      <c r="Q133" s="66">
        <v>0.67600000000000005</v>
      </c>
      <c r="R133" s="66">
        <v>-0.29199999999999993</v>
      </c>
      <c r="S133" s="66">
        <v>-0.21100000000000008</v>
      </c>
      <c r="T133" s="66">
        <v>-0.14500000000000002</v>
      </c>
      <c r="U133" s="66">
        <v>-0.21899999999999986</v>
      </c>
      <c r="V133" s="66">
        <v>-0.30500000000000016</v>
      </c>
      <c r="W133" s="66">
        <v>-0.33299999999999974</v>
      </c>
      <c r="X133" s="66">
        <v>-0.18600000000000039</v>
      </c>
      <c r="Y133" s="66">
        <v>-2.2320000000000002</v>
      </c>
      <c r="Z133" s="34"/>
      <c r="AA133" s="66">
        <v>-35.624000000000002</v>
      </c>
      <c r="AB133" s="60">
        <v>33.39</v>
      </c>
      <c r="AC133" s="34"/>
      <c r="AD133" s="66">
        <v>-1.4240000000000002</v>
      </c>
      <c r="AE133" s="60">
        <v>-0.81</v>
      </c>
    </row>
    <row r="134" spans="1:31" ht="18" hidden="1" customHeight="1" outlineLevel="1" x14ac:dyDescent="0.2">
      <c r="A134" s="30" t="s">
        <v>152</v>
      </c>
      <c r="B134" s="30" t="s">
        <v>18</v>
      </c>
      <c r="C134" s="4">
        <v>-0.99932930918846408</v>
      </c>
      <c r="D134" s="4">
        <v>-0.99932930918846408</v>
      </c>
      <c r="F134" s="38" t="s">
        <v>153</v>
      </c>
      <c r="G134" s="34"/>
      <c r="H134" s="66">
        <v>-0.96399999999999997</v>
      </c>
      <c r="I134" s="66">
        <v>-0.2</v>
      </c>
      <c r="J134" s="66">
        <v>-0.2</v>
      </c>
      <c r="K134" s="86">
        <v>0</v>
      </c>
      <c r="L134" s="86">
        <v>0</v>
      </c>
      <c r="M134" s="66">
        <v>0</v>
      </c>
      <c r="N134" s="66">
        <v>-0.1</v>
      </c>
      <c r="O134" s="66">
        <v>1.100000000000001E-2</v>
      </c>
      <c r="P134" s="66">
        <v>-1.768</v>
      </c>
      <c r="Q134" s="66">
        <v>-2.2249999999999996</v>
      </c>
      <c r="R134" s="66">
        <v>-0.37100000000000044</v>
      </c>
      <c r="S134" s="66">
        <v>0</v>
      </c>
      <c r="T134" s="66">
        <v>0</v>
      </c>
      <c r="U134" s="66">
        <v>0</v>
      </c>
      <c r="V134" s="66">
        <v>0.27800000000000047</v>
      </c>
      <c r="W134" s="66">
        <v>0</v>
      </c>
      <c r="X134" s="66">
        <v>-0.29800000000000004</v>
      </c>
      <c r="Y134" s="66">
        <v>-4.4729999999999999</v>
      </c>
      <c r="Z134" s="34"/>
      <c r="AA134" s="66">
        <v>0</v>
      </c>
      <c r="AB134" s="60">
        <v>-4.47</v>
      </c>
      <c r="AC134" s="34"/>
      <c r="AD134" s="66">
        <v>0</v>
      </c>
      <c r="AE134" s="60">
        <v>-4.47</v>
      </c>
    </row>
    <row r="135" spans="1:31" ht="18" hidden="1" customHeight="1" outlineLevel="1" x14ac:dyDescent="0.2">
      <c r="A135" s="30" t="s">
        <v>269</v>
      </c>
      <c r="B135" s="30" t="s">
        <v>18</v>
      </c>
      <c r="C135" s="4">
        <v>0</v>
      </c>
      <c r="D135" s="4">
        <v>0</v>
      </c>
      <c r="F135" s="38" t="s">
        <v>271</v>
      </c>
      <c r="G135" s="34"/>
      <c r="H135" s="66">
        <v>0</v>
      </c>
      <c r="I135" s="66">
        <v>0</v>
      </c>
      <c r="J135" s="66">
        <v>0</v>
      </c>
      <c r="K135" s="86">
        <v>0</v>
      </c>
      <c r="L135" s="8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34"/>
      <c r="AA135" s="66">
        <v>0</v>
      </c>
      <c r="AB135" s="60">
        <v>0</v>
      </c>
      <c r="AC135" s="34"/>
      <c r="AD135" s="66">
        <v>0</v>
      </c>
      <c r="AE135" s="60">
        <v>0</v>
      </c>
    </row>
    <row r="136" spans="1:31" ht="18" hidden="1" customHeight="1" outlineLevel="1" x14ac:dyDescent="0.2">
      <c r="A136" s="30" t="s">
        <v>270</v>
      </c>
      <c r="B136" s="30" t="s">
        <v>18</v>
      </c>
      <c r="C136" s="4">
        <v>0</v>
      </c>
      <c r="D136" s="4">
        <v>1</v>
      </c>
      <c r="F136" s="38" t="s">
        <v>272</v>
      </c>
      <c r="G136" s="34"/>
      <c r="H136" s="66">
        <v>-2.6</v>
      </c>
      <c r="I136" s="66">
        <v>0</v>
      </c>
      <c r="J136" s="66">
        <v>0</v>
      </c>
      <c r="K136" s="86">
        <v>0</v>
      </c>
      <c r="L136" s="86">
        <v>-1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34"/>
      <c r="AA136" s="66">
        <v>0</v>
      </c>
      <c r="AB136" s="60">
        <v>0</v>
      </c>
      <c r="AC136" s="34"/>
      <c r="AD136" s="66">
        <v>-1</v>
      </c>
      <c r="AE136" s="60">
        <v>1</v>
      </c>
    </row>
    <row r="137" spans="1:31" ht="18" hidden="1" customHeight="1" outlineLevel="1" x14ac:dyDescent="0.2">
      <c r="A137" s="30" t="s">
        <v>162</v>
      </c>
      <c r="B137" s="30" t="s">
        <v>18</v>
      </c>
      <c r="C137" s="4">
        <v>-0.99476439790575921</v>
      </c>
      <c r="D137" s="4">
        <v>0.24</v>
      </c>
      <c r="F137" s="38" t="s">
        <v>163</v>
      </c>
      <c r="G137" s="34"/>
      <c r="H137" s="66">
        <v>-0.72899999999999998</v>
      </c>
      <c r="I137" s="66">
        <v>-0.44900000000000001</v>
      </c>
      <c r="J137" s="66">
        <v>-0.44900000000000001</v>
      </c>
      <c r="K137" s="86">
        <v>0</v>
      </c>
      <c r="L137" s="86">
        <v>-1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-0.76400000000000001</v>
      </c>
      <c r="Y137" s="66">
        <v>-0.76400000000000001</v>
      </c>
      <c r="Z137" s="34"/>
      <c r="AA137" s="66">
        <v>0</v>
      </c>
      <c r="AB137" s="60">
        <v>-0.76</v>
      </c>
      <c r="AC137" s="34"/>
      <c r="AD137" s="66">
        <v>-1</v>
      </c>
      <c r="AE137" s="60">
        <v>0.24</v>
      </c>
    </row>
    <row r="138" spans="1:31" ht="18" hidden="1" customHeight="1" outlineLevel="1" x14ac:dyDescent="0.2">
      <c r="A138" s="30" t="s">
        <v>164</v>
      </c>
      <c r="B138" s="30" t="s">
        <v>18</v>
      </c>
      <c r="C138" s="4">
        <v>0</v>
      </c>
      <c r="D138" s="4">
        <v>1</v>
      </c>
      <c r="F138" s="38" t="s">
        <v>165</v>
      </c>
      <c r="G138" s="34"/>
      <c r="H138" s="66">
        <v>0</v>
      </c>
      <c r="I138" s="66">
        <v>0</v>
      </c>
      <c r="J138" s="66">
        <v>0</v>
      </c>
      <c r="K138" s="86">
        <v>0</v>
      </c>
      <c r="L138" s="86">
        <v>-3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34"/>
      <c r="AA138" s="66">
        <v>0</v>
      </c>
      <c r="AB138" s="60">
        <v>0</v>
      </c>
      <c r="AC138" s="34"/>
      <c r="AD138" s="66">
        <v>-3</v>
      </c>
      <c r="AE138" s="60">
        <v>3</v>
      </c>
    </row>
    <row r="139" spans="1:31" ht="18" hidden="1" customHeight="1" outlineLevel="1" x14ac:dyDescent="0.2">
      <c r="A139" s="30" t="s">
        <v>166</v>
      </c>
      <c r="B139" s="30" t="s">
        <v>18</v>
      </c>
      <c r="C139" s="4">
        <v>0</v>
      </c>
      <c r="D139" s="4">
        <v>0</v>
      </c>
      <c r="F139" s="38" t="s">
        <v>167</v>
      </c>
      <c r="G139" s="34"/>
      <c r="H139" s="66">
        <v>0</v>
      </c>
      <c r="I139" s="66">
        <v>0</v>
      </c>
      <c r="J139" s="66">
        <v>0</v>
      </c>
      <c r="K139" s="86">
        <v>0</v>
      </c>
      <c r="L139" s="8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34"/>
      <c r="AA139" s="66">
        <v>0</v>
      </c>
      <c r="AB139" s="60">
        <v>0</v>
      </c>
      <c r="AC139" s="34"/>
      <c r="AD139" s="66">
        <v>0</v>
      </c>
      <c r="AE139" s="60">
        <v>0</v>
      </c>
    </row>
    <row r="140" spans="1:31" ht="18" customHeight="1" collapsed="1" x14ac:dyDescent="0.2">
      <c r="A140" s="30" t="s">
        <v>408</v>
      </c>
      <c r="B140" s="30" t="s">
        <v>18</v>
      </c>
      <c r="C140" s="4"/>
      <c r="D140" s="4"/>
      <c r="F140" s="106" t="s">
        <v>409</v>
      </c>
      <c r="G140" s="34"/>
      <c r="H140" s="61">
        <v>-9.9440000000000008</v>
      </c>
      <c r="I140" s="61">
        <v>-10.055</v>
      </c>
      <c r="J140" s="61">
        <v>-10.055</v>
      </c>
      <c r="K140" s="86">
        <v>0</v>
      </c>
      <c r="L140" s="86">
        <v>0</v>
      </c>
      <c r="M140" s="61">
        <v>0</v>
      </c>
      <c r="N140" s="61">
        <v>-2.5720000000000001</v>
      </c>
      <c r="O140" s="61">
        <v>0</v>
      </c>
      <c r="P140" s="61">
        <v>0</v>
      </c>
      <c r="Q140" s="61">
        <v>-2.7560000000000002</v>
      </c>
      <c r="R140" s="61">
        <v>0</v>
      </c>
      <c r="S140" s="61">
        <v>0</v>
      </c>
      <c r="T140" s="61">
        <v>-2.4020000000000001</v>
      </c>
      <c r="U140" s="61">
        <v>0</v>
      </c>
      <c r="V140" s="61">
        <v>0</v>
      </c>
      <c r="W140" s="61">
        <v>-2.407</v>
      </c>
      <c r="X140" s="61">
        <v>0</v>
      </c>
      <c r="Y140" s="61">
        <v>-10.137</v>
      </c>
      <c r="AA140" s="61">
        <v>0</v>
      </c>
      <c r="AB140" s="60">
        <v>-10.14</v>
      </c>
      <c r="AD140" s="61">
        <v>0</v>
      </c>
      <c r="AE140" s="60">
        <v>-10.14</v>
      </c>
    </row>
    <row r="141" spans="1:31" ht="18" customHeight="1" x14ac:dyDescent="0.2">
      <c r="A141" s="35"/>
      <c r="B141" s="35"/>
      <c r="C141" s="4">
        <v>0.7904783292162586</v>
      </c>
      <c r="D141" s="4">
        <v>-0.16344956413449566</v>
      </c>
      <c r="F141" s="106" t="s">
        <v>189</v>
      </c>
      <c r="H141" s="61">
        <v>-9.0229999999999997</v>
      </c>
      <c r="I141" s="61">
        <v>-4.6289999999999996</v>
      </c>
      <c r="J141" s="61">
        <v>-4.6289999999999996</v>
      </c>
      <c r="K141" s="86">
        <v>-35.624000000000002</v>
      </c>
      <c r="L141" s="86">
        <v>-6.4239999999999995</v>
      </c>
      <c r="M141" s="61">
        <v>-0.45100000000000001</v>
      </c>
      <c r="N141" s="61">
        <v>-0.55900000000000005</v>
      </c>
      <c r="O141" s="61">
        <v>-0.12599999999999989</v>
      </c>
      <c r="P141" s="61">
        <v>-1.9380000000000002</v>
      </c>
      <c r="Q141" s="61">
        <v>-1.5489999999999995</v>
      </c>
      <c r="R141" s="61">
        <v>-0.66300000000000037</v>
      </c>
      <c r="S141" s="61">
        <v>-0.21100000000000008</v>
      </c>
      <c r="T141" s="61">
        <v>-0.14500000000000002</v>
      </c>
      <c r="U141" s="61">
        <v>-0.21899999999999986</v>
      </c>
      <c r="V141" s="61">
        <v>-2.6999999999999691E-2</v>
      </c>
      <c r="W141" s="61">
        <v>-0.33299999999999974</v>
      </c>
      <c r="X141" s="61">
        <v>-1.2480000000000004</v>
      </c>
      <c r="Y141" s="61">
        <v>-7.4690000000000003</v>
      </c>
      <c r="AA141" s="61">
        <v>-35.624000000000002</v>
      </c>
      <c r="AB141" s="60">
        <v>28.16</v>
      </c>
      <c r="AD141" s="61">
        <v>-6.4239999999999995</v>
      </c>
      <c r="AE141" s="60">
        <v>-1.05</v>
      </c>
    </row>
    <row r="142" spans="1:31" ht="18" customHeight="1" x14ac:dyDescent="0.2">
      <c r="A142" s="35"/>
      <c r="B142" s="35"/>
      <c r="C142" s="4">
        <v>-0.1325406433759945</v>
      </c>
      <c r="D142" s="4">
        <v>-1.9436444306063672E-2</v>
      </c>
      <c r="F142" s="95" t="s">
        <v>65</v>
      </c>
      <c r="H142" s="195">
        <v>-1076.6369999999999</v>
      </c>
      <c r="I142" s="195">
        <v>-1110.259</v>
      </c>
      <c r="J142" s="64">
        <v>-1110.259</v>
      </c>
      <c r="K142" s="89">
        <v>-1156.3999999999999</v>
      </c>
      <c r="L142" s="89">
        <v>-1284.7</v>
      </c>
      <c r="M142" s="64">
        <v>-96.281999999999996</v>
      </c>
      <c r="N142" s="64">
        <v>-98.182999999999993</v>
      </c>
      <c r="O142" s="64">
        <v>-135.405</v>
      </c>
      <c r="P142" s="64">
        <v>-117.61299999999999</v>
      </c>
      <c r="Q142" s="64">
        <v>-107.48099999999999</v>
      </c>
      <c r="R142" s="64">
        <v>-103.16200000000002</v>
      </c>
      <c r="S142" s="64">
        <v>-93.60199999999999</v>
      </c>
      <c r="T142" s="64">
        <v>-83.710999999999999</v>
      </c>
      <c r="U142" s="64">
        <v>-104.42700000000002</v>
      </c>
      <c r="V142" s="64">
        <v>-124.849</v>
      </c>
      <c r="W142" s="64">
        <v>-137.77000000000004</v>
      </c>
      <c r="X142" s="64">
        <v>-107.18099999999997</v>
      </c>
      <c r="Y142" s="64">
        <v>-1309.6660000000002</v>
      </c>
      <c r="AA142" s="64">
        <v>-1156.3999999999999</v>
      </c>
      <c r="AB142" s="60">
        <v>-153.27000000000001</v>
      </c>
      <c r="AD142" s="64">
        <v>-1284.7</v>
      </c>
      <c r="AE142" s="60">
        <v>-24.97</v>
      </c>
    </row>
    <row r="143" spans="1:31" ht="12.95" customHeight="1" x14ac:dyDescent="0.2">
      <c r="A143" s="35"/>
      <c r="B143" s="35"/>
      <c r="C143" s="4"/>
      <c r="D143" s="4"/>
      <c r="F143" s="39" t="s">
        <v>223</v>
      </c>
      <c r="H143" s="56">
        <v>6.3309012986075192E-2</v>
      </c>
      <c r="I143" s="56">
        <v>6.317246982866899E-2</v>
      </c>
      <c r="J143" s="56">
        <v>6.317246982866899E-2</v>
      </c>
      <c r="K143" s="109">
        <v>6.6628508727908264E-2</v>
      </c>
      <c r="L143" s="109">
        <v>7.1353959572680481E-2</v>
      </c>
      <c r="M143" s="56">
        <v>6.9495160052805982E-2</v>
      </c>
      <c r="N143" s="56">
        <v>7.1411790804321806E-2</v>
      </c>
      <c r="O143" s="56">
        <v>9.4931384110166828E-2</v>
      </c>
      <c r="P143" s="56">
        <v>7.6933593238964898E-2</v>
      </c>
      <c r="Q143" s="56">
        <v>6.594351169860635E-2</v>
      </c>
      <c r="R143" s="56">
        <v>6.5816185261696622E-2</v>
      </c>
      <c r="S143" s="56">
        <v>6.3919725096423852E-2</v>
      </c>
      <c r="T143" s="56">
        <v>5.5257448048651826E-2</v>
      </c>
      <c r="U143" s="56">
        <v>6.8878611069703749E-2</v>
      </c>
      <c r="V143" s="56">
        <v>7.9242389718273132E-2</v>
      </c>
      <c r="W143" s="56">
        <v>8.7096482571536779E-2</v>
      </c>
      <c r="X143" s="56">
        <v>6.6146003690515098E-2</v>
      </c>
      <c r="Y143" s="56">
        <v>7.2015581327701139E-2</v>
      </c>
      <c r="AA143" s="56">
        <v>6.6628508727908264E-2</v>
      </c>
      <c r="AB143" s="57"/>
      <c r="AD143" s="56">
        <v>7.1353959572680481E-2</v>
      </c>
      <c r="AE143" s="57"/>
    </row>
    <row r="144" spans="1:31" ht="6.95" customHeight="1" x14ac:dyDescent="0.2">
      <c r="C144" s="4"/>
      <c r="D144" s="4"/>
      <c r="F144" s="96"/>
      <c r="H144" s="16"/>
      <c r="I144" s="16"/>
      <c r="J144" s="16"/>
      <c r="K144" s="85"/>
      <c r="L144" s="85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AA144" s="16"/>
      <c r="AB144" s="20"/>
      <c r="AD144" s="16"/>
      <c r="AE144" s="20"/>
    </row>
    <row r="145" spans="1:31" ht="18" hidden="1" customHeight="1" outlineLevel="1" collapsed="1" x14ac:dyDescent="0.2">
      <c r="A145" s="35"/>
      <c r="B145" s="35"/>
      <c r="C145" s="4"/>
      <c r="D145" s="4"/>
      <c r="F145" s="97" t="s">
        <v>242</v>
      </c>
      <c r="H145" s="74">
        <v>-13.00694</v>
      </c>
      <c r="I145" s="74">
        <v>5.7131799999999986</v>
      </c>
      <c r="J145" s="74">
        <v>5.7131799999999995</v>
      </c>
      <c r="K145" s="112">
        <v>4.5</v>
      </c>
      <c r="L145" s="112">
        <v>5.48</v>
      </c>
      <c r="M145" s="74">
        <v>4.2168000000000001</v>
      </c>
      <c r="N145" s="74">
        <v>4.7215199999999999</v>
      </c>
      <c r="O145" s="74">
        <v>8.772000000000002</v>
      </c>
      <c r="P145" s="74">
        <v>7.105439999999998</v>
      </c>
      <c r="Q145" s="74">
        <v>2.9368799999999986</v>
      </c>
      <c r="R145" s="74">
        <v>6.5776800000000026</v>
      </c>
      <c r="S145" s="74">
        <v>6.7615200000000009</v>
      </c>
      <c r="T145" s="74">
        <v>7.02</v>
      </c>
      <c r="U145" s="74">
        <v>4.6716000000000015</v>
      </c>
      <c r="V145" s="74">
        <v>1.636319999999996</v>
      </c>
      <c r="W145" s="74">
        <v>4.7332800000000024</v>
      </c>
      <c r="X145" s="74">
        <v>9.8176799999999957</v>
      </c>
      <c r="Y145" s="74">
        <v>5.74756</v>
      </c>
      <c r="AA145" s="74">
        <v>4.5</v>
      </c>
      <c r="AB145" s="73">
        <v>1.25</v>
      </c>
      <c r="AD145" s="74">
        <v>5.48</v>
      </c>
      <c r="AE145" s="73">
        <v>0.27</v>
      </c>
    </row>
    <row r="146" spans="1:31" ht="18" customHeight="1" collapsed="1" x14ac:dyDescent="0.2">
      <c r="A146" s="30" t="s">
        <v>79</v>
      </c>
      <c r="B146" s="30" t="s">
        <v>18</v>
      </c>
      <c r="C146" s="4">
        <v>-0.27724444444444446</v>
      </c>
      <c r="D146" s="4">
        <v>-4.8832116788321174E-2</v>
      </c>
      <c r="F146" s="106" t="s">
        <v>83</v>
      </c>
      <c r="H146" s="61">
        <v>650.34699999999998</v>
      </c>
      <c r="I146" s="61">
        <v>-285.65899999999999</v>
      </c>
      <c r="J146" s="61">
        <v>-285.65899999999999</v>
      </c>
      <c r="K146" s="86">
        <v>-225</v>
      </c>
      <c r="L146" s="86">
        <v>-274</v>
      </c>
      <c r="M146" s="61">
        <v>-17.57</v>
      </c>
      <c r="N146" s="61">
        <v>-19.673000000000002</v>
      </c>
      <c r="O146" s="61">
        <v>-36.550000000000004</v>
      </c>
      <c r="P146" s="61">
        <v>-29.605999999999995</v>
      </c>
      <c r="Q146" s="61">
        <v>-12.236999999999995</v>
      </c>
      <c r="R146" s="61">
        <v>-27.407000000000011</v>
      </c>
      <c r="S146" s="61">
        <v>-28.173000000000002</v>
      </c>
      <c r="T146" s="61">
        <v>-29.25</v>
      </c>
      <c r="U146" s="61">
        <v>-19.465000000000003</v>
      </c>
      <c r="V146" s="61">
        <v>-6.8179999999999836</v>
      </c>
      <c r="W146" s="61">
        <v>-19.722000000000008</v>
      </c>
      <c r="X146" s="61">
        <v>-40.906999999999982</v>
      </c>
      <c r="Y146" s="61">
        <v>-287.37799999999999</v>
      </c>
      <c r="AA146" s="61">
        <v>-225</v>
      </c>
      <c r="AB146" s="60">
        <v>-62.38</v>
      </c>
      <c r="AD146" s="61">
        <v>-274</v>
      </c>
      <c r="AE146" s="60">
        <v>-13.38</v>
      </c>
    </row>
    <row r="147" spans="1:31" ht="18" customHeight="1" x14ac:dyDescent="0.2">
      <c r="A147" s="30" t="s">
        <v>80</v>
      </c>
      <c r="B147" s="30" t="s">
        <v>18</v>
      </c>
      <c r="C147" s="4">
        <v>0.8952</v>
      </c>
      <c r="D147" s="4">
        <v>0.53710247349823326</v>
      </c>
      <c r="F147" s="106" t="s">
        <v>84</v>
      </c>
      <c r="H147" s="61">
        <v>-0.105</v>
      </c>
      <c r="I147" s="61">
        <v>-10.539</v>
      </c>
      <c r="J147" s="61">
        <v>-10.539</v>
      </c>
      <c r="K147" s="86">
        <v>-12.5</v>
      </c>
      <c r="L147" s="86">
        <v>-2.83</v>
      </c>
      <c r="M147" s="61">
        <v>0</v>
      </c>
      <c r="N147" s="61">
        <v>-0.13600000000000001</v>
      </c>
      <c r="O147" s="61">
        <v>-0.40900000000000003</v>
      </c>
      <c r="P147" s="61">
        <v>-2.1999999999999909E-2</v>
      </c>
      <c r="Q147" s="61">
        <v>-0.7410000000000001</v>
      </c>
      <c r="R147" s="61">
        <v>0</v>
      </c>
      <c r="S147" s="61">
        <v>0</v>
      </c>
      <c r="T147" s="61">
        <v>0</v>
      </c>
      <c r="U147" s="61">
        <v>0</v>
      </c>
      <c r="V147" s="61">
        <v>0</v>
      </c>
      <c r="W147" s="61">
        <v>0</v>
      </c>
      <c r="X147" s="61">
        <v>0</v>
      </c>
      <c r="Y147" s="61">
        <v>-1.3080000000000001</v>
      </c>
      <c r="AA147" s="61">
        <v>-12.5</v>
      </c>
      <c r="AB147" s="60">
        <v>11.19</v>
      </c>
      <c r="AD147" s="61">
        <v>-2.83</v>
      </c>
      <c r="AE147" s="60">
        <v>1.52</v>
      </c>
    </row>
    <row r="148" spans="1:31" ht="18" customHeight="1" x14ac:dyDescent="0.2">
      <c r="A148" s="30" t="s">
        <v>81</v>
      </c>
      <c r="B148" s="30" t="s">
        <v>18</v>
      </c>
      <c r="C148" s="4">
        <v>-0.38469135802469134</v>
      </c>
      <c r="D148" s="4">
        <v>-5.811320754716981E-2</v>
      </c>
      <c r="F148" s="106" t="s">
        <v>85</v>
      </c>
      <c r="H148" s="61">
        <v>-83.525999999999996</v>
      </c>
      <c r="I148" s="61">
        <v>-92.914000000000001</v>
      </c>
      <c r="J148" s="61">
        <v>-92.914000000000001</v>
      </c>
      <c r="K148" s="86">
        <v>-81</v>
      </c>
      <c r="L148" s="86">
        <v>-106</v>
      </c>
      <c r="M148" s="61">
        <v>-14.714</v>
      </c>
      <c r="N148" s="61">
        <v>-11.101999999999999</v>
      </c>
      <c r="O148" s="61">
        <v>-7.0070000000000014</v>
      </c>
      <c r="P148" s="61">
        <v>-8.9879999999999995</v>
      </c>
      <c r="Q148" s="61">
        <v>-6.597999999999999</v>
      </c>
      <c r="R148" s="61">
        <v>-8.1910000000000025</v>
      </c>
      <c r="S148" s="61">
        <v>-2.661999999999999</v>
      </c>
      <c r="T148" s="61">
        <v>-11.369</v>
      </c>
      <c r="U148" s="61">
        <v>-7.3020000000000067</v>
      </c>
      <c r="V148" s="61">
        <v>-12.685999999999993</v>
      </c>
      <c r="W148" s="61">
        <v>-14.840999999999994</v>
      </c>
      <c r="X148" s="61">
        <v>-6.6950000000000074</v>
      </c>
      <c r="Y148" s="61">
        <v>-112.155</v>
      </c>
      <c r="AA148" s="61">
        <v>-81</v>
      </c>
      <c r="AB148" s="60">
        <v>-31.16</v>
      </c>
      <c r="AD148" s="61">
        <v>-106</v>
      </c>
      <c r="AE148" s="60">
        <v>-6.16</v>
      </c>
    </row>
    <row r="149" spans="1:31" ht="18" customHeight="1" x14ac:dyDescent="0.2">
      <c r="A149" s="30" t="s">
        <v>204</v>
      </c>
      <c r="B149" s="30" t="s">
        <v>18</v>
      </c>
      <c r="C149" s="4">
        <v>1.7112499999999999</v>
      </c>
      <c r="D149" s="4">
        <v>12.094707520891365</v>
      </c>
      <c r="F149" s="104" t="s">
        <v>139</v>
      </c>
      <c r="G149" s="36"/>
      <c r="H149" s="65">
        <v>-71.504999999999995</v>
      </c>
      <c r="I149" s="65">
        <v>-31.552</v>
      </c>
      <c r="J149" s="65">
        <v>-31.552</v>
      </c>
      <c r="K149" s="65">
        <v>-56</v>
      </c>
      <c r="L149" s="65">
        <v>-3.59</v>
      </c>
      <c r="M149" s="65">
        <v>-7.4999999999999997E-2</v>
      </c>
      <c r="N149" s="65">
        <v>0.89899999999999991</v>
      </c>
      <c r="O149" s="65">
        <v>6.5760000000000005</v>
      </c>
      <c r="P149" s="65">
        <v>4.3469999999999995</v>
      </c>
      <c r="Q149" s="65">
        <v>0.5</v>
      </c>
      <c r="R149" s="65">
        <v>0</v>
      </c>
      <c r="S149" s="65">
        <v>0</v>
      </c>
      <c r="T149" s="65">
        <v>0</v>
      </c>
      <c r="U149" s="65">
        <v>0</v>
      </c>
      <c r="V149" s="65">
        <v>-3.2360000000000007</v>
      </c>
      <c r="W149" s="65">
        <v>-6.7969999999999988</v>
      </c>
      <c r="X149" s="65">
        <v>37.616</v>
      </c>
      <c r="Y149" s="65">
        <v>39.83</v>
      </c>
      <c r="Z149" s="36"/>
      <c r="AA149" s="65">
        <v>-56</v>
      </c>
      <c r="AB149" s="60">
        <v>95.83</v>
      </c>
      <c r="AC149" s="36"/>
      <c r="AD149" s="65">
        <v>-3.59</v>
      </c>
      <c r="AE149" s="60">
        <v>43.42</v>
      </c>
    </row>
    <row r="150" spans="1:31" ht="18" customHeight="1" x14ac:dyDescent="0.2">
      <c r="A150" s="30" t="s">
        <v>82</v>
      </c>
      <c r="B150" s="30" t="s">
        <v>18</v>
      </c>
      <c r="C150" s="4">
        <v>-1.3685</v>
      </c>
      <c r="D150" s="4">
        <v>-7.6590909090909098E-2</v>
      </c>
      <c r="F150" s="106" t="s">
        <v>86</v>
      </c>
      <c r="H150" s="61">
        <v>-25.384</v>
      </c>
      <c r="I150" s="61">
        <v>-18.943000000000001</v>
      </c>
      <c r="J150" s="61">
        <v>-18.943000000000001</v>
      </c>
      <c r="K150" s="86">
        <v>-20</v>
      </c>
      <c r="L150" s="86">
        <v>-44</v>
      </c>
      <c r="M150" s="61">
        <v>-1.9</v>
      </c>
      <c r="N150" s="61">
        <v>-8.609</v>
      </c>
      <c r="O150" s="61">
        <v>-11.071999999999999</v>
      </c>
      <c r="P150" s="61">
        <v>-1.0659999999999989</v>
      </c>
      <c r="Q150" s="61">
        <v>-0.50200000000000244</v>
      </c>
      <c r="R150" s="61">
        <v>-1.6579999999999977</v>
      </c>
      <c r="S150" s="61">
        <v>-0.71100000000000207</v>
      </c>
      <c r="T150" s="61">
        <v>-5.8230000000000004</v>
      </c>
      <c r="U150" s="61">
        <v>-2.3149999999999977</v>
      </c>
      <c r="V150" s="61">
        <v>-3.4980000000000047</v>
      </c>
      <c r="W150" s="61">
        <v>-7.1890000000000001</v>
      </c>
      <c r="X150" s="61">
        <v>-3.0219999999999985</v>
      </c>
      <c r="Y150" s="61">
        <v>-47.365000000000002</v>
      </c>
      <c r="AA150" s="61">
        <v>-20</v>
      </c>
      <c r="AB150" s="60">
        <v>-27.37</v>
      </c>
      <c r="AD150" s="61">
        <v>-44</v>
      </c>
      <c r="AE150" s="60">
        <v>-3.37</v>
      </c>
    </row>
    <row r="151" spans="1:31" ht="18" hidden="1" customHeight="1" outlineLevel="1" x14ac:dyDescent="0.2">
      <c r="A151" s="30" t="s">
        <v>140</v>
      </c>
      <c r="B151" s="30" t="s">
        <v>18</v>
      </c>
      <c r="C151" s="4">
        <v>0</v>
      </c>
      <c r="D151" s="4">
        <v>0</v>
      </c>
      <c r="F151" s="38" t="s">
        <v>141</v>
      </c>
      <c r="G151" s="34"/>
      <c r="H151" s="66">
        <v>0</v>
      </c>
      <c r="I151" s="66">
        <v>0</v>
      </c>
      <c r="J151" s="66">
        <v>0</v>
      </c>
      <c r="K151" s="86">
        <v>0</v>
      </c>
      <c r="L151" s="8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34"/>
      <c r="AA151" s="66">
        <v>0</v>
      </c>
      <c r="AB151" s="60">
        <v>0</v>
      </c>
      <c r="AC151" s="34"/>
      <c r="AD151" s="66">
        <v>0</v>
      </c>
      <c r="AE151" s="60">
        <v>0</v>
      </c>
    </row>
    <row r="152" spans="1:31" ht="18" hidden="1" customHeight="1" outlineLevel="1" x14ac:dyDescent="0.2">
      <c r="A152" s="30" t="s">
        <v>123</v>
      </c>
      <c r="B152" s="30" t="s">
        <v>18</v>
      </c>
      <c r="C152" s="4">
        <v>0</v>
      </c>
      <c r="D152" s="4">
        <v>0</v>
      </c>
      <c r="F152" s="38" t="s">
        <v>142</v>
      </c>
      <c r="G152" s="34"/>
      <c r="H152" s="66">
        <v>0</v>
      </c>
      <c r="I152" s="66">
        <v>0</v>
      </c>
      <c r="J152" s="66">
        <v>0</v>
      </c>
      <c r="K152" s="86">
        <v>0</v>
      </c>
      <c r="L152" s="8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34"/>
      <c r="AA152" s="66">
        <v>0</v>
      </c>
      <c r="AB152" s="60">
        <v>0</v>
      </c>
      <c r="AC152" s="34"/>
      <c r="AD152" s="66">
        <v>0</v>
      </c>
      <c r="AE152" s="60">
        <v>0</v>
      </c>
    </row>
    <row r="153" spans="1:31" ht="18" hidden="1" customHeight="1" outlineLevel="1" x14ac:dyDescent="0.2">
      <c r="A153" s="30" t="s">
        <v>124</v>
      </c>
      <c r="B153" s="30" t="s">
        <v>18</v>
      </c>
      <c r="C153" s="4">
        <v>0</v>
      </c>
      <c r="D153" s="4">
        <v>0</v>
      </c>
      <c r="F153" s="38" t="s">
        <v>143</v>
      </c>
      <c r="G153" s="34"/>
      <c r="H153" s="66">
        <v>0</v>
      </c>
      <c r="I153" s="66">
        <v>0</v>
      </c>
      <c r="J153" s="66">
        <v>0</v>
      </c>
      <c r="K153" s="86">
        <v>0</v>
      </c>
      <c r="L153" s="8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34"/>
      <c r="AA153" s="66">
        <v>0</v>
      </c>
      <c r="AB153" s="60">
        <v>0</v>
      </c>
      <c r="AC153" s="34"/>
      <c r="AD153" s="66">
        <v>0</v>
      </c>
      <c r="AE153" s="60">
        <v>0</v>
      </c>
    </row>
    <row r="154" spans="1:31" ht="18" hidden="1" customHeight="1" outlineLevel="1" x14ac:dyDescent="0.2">
      <c r="A154" s="30" t="s">
        <v>265</v>
      </c>
      <c r="B154" s="30" t="s">
        <v>18</v>
      </c>
      <c r="C154" s="4">
        <v>0</v>
      </c>
      <c r="D154" s="4">
        <v>0</v>
      </c>
      <c r="F154" s="38" t="s">
        <v>266</v>
      </c>
      <c r="G154" s="34"/>
      <c r="H154" s="66">
        <v>0</v>
      </c>
      <c r="I154" s="66">
        <v>0</v>
      </c>
      <c r="J154" s="66">
        <v>0</v>
      </c>
      <c r="K154" s="86">
        <v>0</v>
      </c>
      <c r="L154" s="8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34"/>
      <c r="AA154" s="66">
        <v>0</v>
      </c>
      <c r="AB154" s="60">
        <v>0</v>
      </c>
      <c r="AC154" s="34"/>
      <c r="AD154" s="66">
        <v>0</v>
      </c>
      <c r="AE154" s="60">
        <v>0</v>
      </c>
    </row>
    <row r="155" spans="1:31" ht="18" hidden="1" customHeight="1" outlineLevel="1" x14ac:dyDescent="0.2">
      <c r="A155" s="30" t="s">
        <v>144</v>
      </c>
      <c r="B155" s="30" t="s">
        <v>18</v>
      </c>
      <c r="C155" s="4">
        <v>0</v>
      </c>
      <c r="D155" s="4">
        <v>0</v>
      </c>
      <c r="F155" s="38" t="s">
        <v>145</v>
      </c>
      <c r="G155" s="34"/>
      <c r="H155" s="66">
        <v>0</v>
      </c>
      <c r="I155" s="66">
        <v>0</v>
      </c>
      <c r="J155" s="66">
        <v>0</v>
      </c>
      <c r="K155" s="86">
        <v>0</v>
      </c>
      <c r="L155" s="8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34"/>
      <c r="AA155" s="66">
        <v>0</v>
      </c>
      <c r="AB155" s="60">
        <v>0</v>
      </c>
      <c r="AC155" s="34"/>
      <c r="AD155" s="66">
        <v>0</v>
      </c>
      <c r="AE155" s="60">
        <v>0</v>
      </c>
    </row>
    <row r="156" spans="1:31" ht="18" customHeight="1" collapsed="1" x14ac:dyDescent="0.2">
      <c r="A156" s="35"/>
      <c r="B156" s="35"/>
      <c r="C156" s="4">
        <v>0</v>
      </c>
      <c r="D156" s="4">
        <v>0</v>
      </c>
      <c r="F156" s="106" t="s">
        <v>69</v>
      </c>
      <c r="H156" s="61">
        <v>0</v>
      </c>
      <c r="I156" s="61">
        <v>0</v>
      </c>
      <c r="J156" s="61">
        <v>0</v>
      </c>
      <c r="K156" s="86">
        <v>0</v>
      </c>
      <c r="L156" s="86">
        <v>0</v>
      </c>
      <c r="M156" s="61">
        <v>0</v>
      </c>
      <c r="N156" s="61">
        <v>0</v>
      </c>
      <c r="O156" s="61">
        <v>0</v>
      </c>
      <c r="P156" s="61">
        <v>0</v>
      </c>
      <c r="Q156" s="61">
        <v>0</v>
      </c>
      <c r="R156" s="61">
        <v>0</v>
      </c>
      <c r="S156" s="61">
        <v>0</v>
      </c>
      <c r="T156" s="61">
        <v>0</v>
      </c>
      <c r="U156" s="61">
        <v>0</v>
      </c>
      <c r="V156" s="61">
        <v>0</v>
      </c>
      <c r="W156" s="61">
        <v>0</v>
      </c>
      <c r="X156" s="61">
        <v>0</v>
      </c>
      <c r="Y156" s="61">
        <v>0</v>
      </c>
      <c r="AA156" s="61">
        <v>0</v>
      </c>
      <c r="AB156" s="60">
        <v>0</v>
      </c>
      <c r="AD156" s="61">
        <v>0</v>
      </c>
      <c r="AE156" s="60">
        <v>0</v>
      </c>
    </row>
    <row r="157" spans="1:31" ht="18" customHeight="1" x14ac:dyDescent="0.2">
      <c r="A157" s="35"/>
      <c r="B157" s="35"/>
      <c r="C157" s="4">
        <v>-3.5183776932826365E-2</v>
      </c>
      <c r="D157" s="4">
        <v>5.1205798987035929E-2</v>
      </c>
      <c r="F157" s="95" t="s">
        <v>276</v>
      </c>
      <c r="H157" s="64">
        <v>469.827</v>
      </c>
      <c r="I157" s="64">
        <v>-439.60699999999997</v>
      </c>
      <c r="J157" s="64">
        <v>-439.60699999999997</v>
      </c>
      <c r="K157" s="89">
        <v>-394.5</v>
      </c>
      <c r="L157" s="89">
        <v>-430.41999999999996</v>
      </c>
      <c r="M157" s="64">
        <v>-34.259</v>
      </c>
      <c r="N157" s="64">
        <v>-38.621000000000002</v>
      </c>
      <c r="O157" s="64">
        <v>-48.462000000000003</v>
      </c>
      <c r="P157" s="64">
        <v>-35.334999999999994</v>
      </c>
      <c r="Q157" s="64">
        <v>-19.577999999999996</v>
      </c>
      <c r="R157" s="64">
        <v>-37.256000000000014</v>
      </c>
      <c r="S157" s="64">
        <v>-31.546000000000003</v>
      </c>
      <c r="T157" s="64">
        <v>-46.442</v>
      </c>
      <c r="U157" s="64">
        <v>-29.082000000000008</v>
      </c>
      <c r="V157" s="64">
        <v>-26.237999999999982</v>
      </c>
      <c r="W157" s="64">
        <v>-48.548999999999999</v>
      </c>
      <c r="X157" s="64">
        <v>-13.007999999999988</v>
      </c>
      <c r="Y157" s="64">
        <v>-408.37600000000003</v>
      </c>
      <c r="AA157" s="64">
        <v>-394.5</v>
      </c>
      <c r="AB157" s="60">
        <v>-13.88</v>
      </c>
      <c r="AD157" s="64">
        <v>-430.4199999999999</v>
      </c>
      <c r="AE157" s="60">
        <v>22.04</v>
      </c>
    </row>
    <row r="158" spans="1:31" ht="12.95" customHeight="1" x14ac:dyDescent="0.2">
      <c r="A158" s="35"/>
      <c r="B158" s="35"/>
      <c r="C158" s="4"/>
      <c r="D158" s="4"/>
      <c r="F158" s="39" t="s">
        <v>223</v>
      </c>
      <c r="H158" s="56">
        <v>-2.7627030878753702E-2</v>
      </c>
      <c r="I158" s="56">
        <v>2.5013136523974758E-2</v>
      </c>
      <c r="J158" s="56">
        <v>2.5013136523974758E-2</v>
      </c>
      <c r="K158" s="109">
        <v>2.2729978115842108E-2</v>
      </c>
      <c r="L158" s="109">
        <v>2.3906103587820603E-2</v>
      </c>
      <c r="M158" s="56">
        <v>2.4727723647712762E-2</v>
      </c>
      <c r="N158" s="56">
        <v>2.8090349374674976E-2</v>
      </c>
      <c r="O158" s="56">
        <v>3.3976328324263547E-2</v>
      </c>
      <c r="P158" s="56">
        <v>2.3113503754676985E-2</v>
      </c>
      <c r="Q158" s="56">
        <v>1.201181671211949E-2</v>
      </c>
      <c r="R158" s="56">
        <v>2.376890519871435E-2</v>
      </c>
      <c r="S158" s="56">
        <v>2.1542399178348614E-2</v>
      </c>
      <c r="T158" s="56">
        <v>3.0656262644998725E-2</v>
      </c>
      <c r="U158" s="56">
        <v>1.9182086693375511E-2</v>
      </c>
      <c r="V158" s="56">
        <v>1.6653411892991125E-2</v>
      </c>
      <c r="W158" s="56">
        <v>3.069207470687042E-2</v>
      </c>
      <c r="X158" s="56">
        <v>8.0277961206391048E-3</v>
      </c>
      <c r="Y158" s="56">
        <v>2.2455675752658524E-2</v>
      </c>
      <c r="AA158" s="56">
        <v>2.2729978115842108E-2</v>
      </c>
      <c r="AB158" s="57"/>
      <c r="AD158" s="56">
        <v>2.3906103587820599E-2</v>
      </c>
      <c r="AE158" s="57"/>
    </row>
    <row r="159" spans="1:31" ht="6.95" customHeight="1" x14ac:dyDescent="0.2">
      <c r="C159" s="4"/>
      <c r="D159" s="4"/>
      <c r="F159" s="96"/>
      <c r="H159" s="16"/>
      <c r="I159" s="16"/>
      <c r="J159" s="16"/>
      <c r="K159" s="85"/>
      <c r="L159" s="85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AA159" s="16"/>
      <c r="AB159" s="20"/>
      <c r="AD159" s="16"/>
      <c r="AE159" s="20"/>
    </row>
    <row r="160" spans="1:31" ht="18" customHeight="1" x14ac:dyDescent="0.2">
      <c r="A160" s="30" t="s">
        <v>89</v>
      </c>
      <c r="B160" s="30" t="s">
        <v>18</v>
      </c>
      <c r="C160" s="4">
        <v>0.28166666666666668</v>
      </c>
      <c r="D160" s="4">
        <v>-2.3255813953488372E-3</v>
      </c>
      <c r="F160" s="106" t="s">
        <v>187</v>
      </c>
      <c r="H160" s="61">
        <v>-3.9630000000000001</v>
      </c>
      <c r="I160" s="61">
        <v>-14.331</v>
      </c>
      <c r="J160" s="61">
        <v>-14.331</v>
      </c>
      <c r="K160" s="86">
        <v>-6</v>
      </c>
      <c r="L160" s="86">
        <v>-4.3</v>
      </c>
      <c r="M160" s="61">
        <v>-8.3000000000000004E-2</v>
      </c>
      <c r="N160" s="61">
        <v>-0.182</v>
      </c>
      <c r="O160" s="61">
        <v>-0.42899999999999994</v>
      </c>
      <c r="P160" s="61">
        <v>-0.19900000000000007</v>
      </c>
      <c r="Q160" s="61">
        <v>-0.67700000000000005</v>
      </c>
      <c r="R160" s="61">
        <v>-0.49399999999999999</v>
      </c>
      <c r="S160" s="61">
        <v>-5.1000000000000156E-2</v>
      </c>
      <c r="T160" s="61">
        <v>-0.35999999999999988</v>
      </c>
      <c r="U160" s="61">
        <v>-0.60000000000000009</v>
      </c>
      <c r="V160" s="61">
        <v>-0.44899999999999984</v>
      </c>
      <c r="W160" s="61">
        <v>-0.77099999999999991</v>
      </c>
      <c r="X160" s="61">
        <v>-1.499999999999968E-2</v>
      </c>
      <c r="Y160" s="61">
        <v>-4.3099999999999996</v>
      </c>
      <c r="AA160" s="61">
        <v>-6</v>
      </c>
      <c r="AB160" s="60">
        <v>1.69</v>
      </c>
      <c r="AD160" s="61">
        <v>-4.3</v>
      </c>
      <c r="AE160" s="60">
        <v>-0.01</v>
      </c>
    </row>
    <row r="161" spans="1:31" ht="18" customHeight="1" x14ac:dyDescent="0.2">
      <c r="A161" s="30" t="s">
        <v>75</v>
      </c>
      <c r="B161" s="30" t="s">
        <v>18</v>
      </c>
      <c r="C161" s="4">
        <v>8.9032258064516118E-2</v>
      </c>
      <c r="D161" s="4">
        <v>0.23260869565217396</v>
      </c>
      <c r="F161" s="106" t="s">
        <v>94</v>
      </c>
      <c r="H161" s="61">
        <v>-7.7539999999999996</v>
      </c>
      <c r="I161" s="61">
        <v>-12.198</v>
      </c>
      <c r="J161" s="61">
        <v>-12.198</v>
      </c>
      <c r="K161" s="86">
        <v>-15.5</v>
      </c>
      <c r="L161" s="86">
        <v>-18.399999999999999</v>
      </c>
      <c r="M161" s="61">
        <v>-1.5289999999999999</v>
      </c>
      <c r="N161" s="61">
        <v>-1</v>
      </c>
      <c r="O161" s="61">
        <v>-2.202</v>
      </c>
      <c r="P161" s="61">
        <v>-1.4050000000000002</v>
      </c>
      <c r="Q161" s="61">
        <v>-0.37599999999999945</v>
      </c>
      <c r="R161" s="61">
        <v>-9.300000000000086E-2</v>
      </c>
      <c r="S161" s="61">
        <v>-2.4049999999999994</v>
      </c>
      <c r="T161" s="61">
        <v>-1.4510000000000005</v>
      </c>
      <c r="U161" s="61">
        <v>-1.8439999999999994</v>
      </c>
      <c r="V161" s="61">
        <v>-1.2970000000000006</v>
      </c>
      <c r="W161" s="61">
        <v>0.41200000000000081</v>
      </c>
      <c r="X161" s="61">
        <v>-0.93299999999999983</v>
      </c>
      <c r="Y161" s="61">
        <v>-14.122999999999999</v>
      </c>
      <c r="AA161" s="61">
        <v>-15.5</v>
      </c>
      <c r="AB161" s="60">
        <v>1.38</v>
      </c>
      <c r="AD161" s="61">
        <v>-18.399999999999999</v>
      </c>
      <c r="AE161" s="60">
        <v>4.28</v>
      </c>
    </row>
    <row r="162" spans="1:31" ht="18" customHeight="1" x14ac:dyDescent="0.2">
      <c r="A162" s="30" t="s">
        <v>91</v>
      </c>
      <c r="B162" s="30" t="s">
        <v>18</v>
      </c>
      <c r="C162" s="4">
        <v>0.17023041474654377</v>
      </c>
      <c r="D162" s="4">
        <v>1.2287438288535379E-2</v>
      </c>
      <c r="F162" s="106" t="s">
        <v>96</v>
      </c>
      <c r="H162" s="61">
        <v>-63.43</v>
      </c>
      <c r="I162" s="61">
        <v>-117.17400000000001</v>
      </c>
      <c r="J162" s="61">
        <v>-117.17400000000001</v>
      </c>
      <c r="K162" s="86">
        <v>-108.5</v>
      </c>
      <c r="L162" s="86">
        <v>-91.15</v>
      </c>
      <c r="M162" s="61">
        <v>-8.2070000000000007</v>
      </c>
      <c r="N162" s="61">
        <v>-9.4789999999999992</v>
      </c>
      <c r="O162" s="61">
        <v>-10.492000000000001</v>
      </c>
      <c r="P162" s="61">
        <v>-6.075999999999997</v>
      </c>
      <c r="Q162" s="61">
        <v>-5.6980000000000004</v>
      </c>
      <c r="R162" s="61">
        <v>-6.3419999999999987</v>
      </c>
      <c r="S162" s="61">
        <v>-8.159000000000006</v>
      </c>
      <c r="T162" s="61">
        <v>-5.0219999999999985</v>
      </c>
      <c r="U162" s="61">
        <v>-6.5860000000000056</v>
      </c>
      <c r="V162" s="61">
        <v>-8.2419999999999902</v>
      </c>
      <c r="W162" s="61">
        <v>-7.6880000000000024</v>
      </c>
      <c r="X162" s="61">
        <v>-8.0430000000000064</v>
      </c>
      <c r="Y162" s="61">
        <v>-90.034000000000006</v>
      </c>
      <c r="AA162" s="61">
        <v>-108.5</v>
      </c>
      <c r="AB162" s="60">
        <v>18.47</v>
      </c>
      <c r="AD162" s="61">
        <v>-91.15000000000002</v>
      </c>
      <c r="AE162" s="60">
        <v>1.1200000000000001</v>
      </c>
    </row>
    <row r="163" spans="1:31" ht="18" customHeight="1" x14ac:dyDescent="0.2">
      <c r="A163" s="30" t="s">
        <v>74</v>
      </c>
      <c r="B163" s="30" t="s">
        <v>18</v>
      </c>
      <c r="C163" s="4">
        <v>0.1160655737704918</v>
      </c>
      <c r="D163" s="4">
        <v>0.10133333333333333</v>
      </c>
      <c r="F163" s="106" t="s">
        <v>97</v>
      </c>
      <c r="H163" s="61">
        <v>-28.001000000000001</v>
      </c>
      <c r="I163" s="61">
        <v>-29.696000000000002</v>
      </c>
      <c r="J163" s="61">
        <v>-29.696000000000002</v>
      </c>
      <c r="K163" s="86">
        <v>-30.5</v>
      </c>
      <c r="L163" s="86">
        <v>-30</v>
      </c>
      <c r="M163" s="61">
        <v>-2.0710000000000002</v>
      </c>
      <c r="N163" s="61">
        <v>-2.2149999999999994</v>
      </c>
      <c r="O163" s="61">
        <v>-2.2470000000000008</v>
      </c>
      <c r="P163" s="61">
        <v>-2.2429999999999994</v>
      </c>
      <c r="Q163" s="61">
        <v>-2.1500000000000004</v>
      </c>
      <c r="R163" s="61">
        <v>-2.2720000000000002</v>
      </c>
      <c r="S163" s="61">
        <v>-2.4439999999999991</v>
      </c>
      <c r="T163" s="61">
        <v>-2.647000000000002</v>
      </c>
      <c r="U163" s="61">
        <v>-2.6419999999999995</v>
      </c>
      <c r="V163" s="61">
        <v>-2.4399999999999977</v>
      </c>
      <c r="W163" s="61">
        <v>-1.8360000000000021</v>
      </c>
      <c r="X163" s="61">
        <v>-1.7519999999999989</v>
      </c>
      <c r="Y163" s="61">
        <v>-26.959</v>
      </c>
      <c r="AA163" s="61">
        <v>-30.5</v>
      </c>
      <c r="AB163" s="60">
        <v>3.54</v>
      </c>
      <c r="AD163" s="61">
        <v>-30</v>
      </c>
      <c r="AE163" s="60">
        <v>3.04</v>
      </c>
    </row>
    <row r="164" spans="1:31" ht="18" customHeight="1" x14ac:dyDescent="0.2">
      <c r="A164" s="30" t="s">
        <v>92</v>
      </c>
      <c r="B164" s="30" t="s">
        <v>18</v>
      </c>
      <c r="C164" s="4">
        <v>0.29887920298879206</v>
      </c>
      <c r="D164" s="4">
        <v>0.40139881404895844</v>
      </c>
      <c r="F164" s="106" t="s">
        <v>98</v>
      </c>
      <c r="H164" s="61">
        <v>-10.037000000000001</v>
      </c>
      <c r="I164" s="61">
        <v>-8.2509999999999994</v>
      </c>
      <c r="J164" s="61">
        <v>-8.2509999999999994</v>
      </c>
      <c r="K164" s="86">
        <v>-5.6210000000000004</v>
      </c>
      <c r="L164" s="86">
        <v>-6.577</v>
      </c>
      <c r="M164" s="61">
        <v>-0.51400000000000001</v>
      </c>
      <c r="N164" s="61">
        <v>-0.47899999999999998</v>
      </c>
      <c r="O164" s="61">
        <v>-0.54700000000000004</v>
      </c>
      <c r="P164" s="61">
        <v>-0.39999999999999991</v>
      </c>
      <c r="Q164" s="61">
        <v>-0.23399999999999999</v>
      </c>
      <c r="R164" s="61">
        <v>-0.2280000000000002</v>
      </c>
      <c r="S164" s="61">
        <v>-0.22799999999999976</v>
      </c>
      <c r="T164" s="61">
        <v>-0.35099999999999998</v>
      </c>
      <c r="U164" s="61">
        <v>-0.254</v>
      </c>
      <c r="V164" s="61">
        <v>-0.24000000000000021</v>
      </c>
      <c r="W164" s="61">
        <v>-0.2330000000000001</v>
      </c>
      <c r="X164" s="61">
        <v>-0.23299999999999965</v>
      </c>
      <c r="Y164" s="61">
        <v>-3.9409999999999998</v>
      </c>
      <c r="AA164" s="61">
        <v>-5.6209999999999996</v>
      </c>
      <c r="AB164" s="60">
        <v>1.68</v>
      </c>
      <c r="AD164" s="61">
        <v>-6.5770000000000008</v>
      </c>
      <c r="AE164" s="60">
        <v>2.64</v>
      </c>
    </row>
    <row r="165" spans="1:31" ht="18" customHeight="1" x14ac:dyDescent="0.2">
      <c r="A165" s="30" t="s">
        <v>125</v>
      </c>
      <c r="B165" s="30" t="s">
        <v>18</v>
      </c>
      <c r="C165" s="4">
        <v>0.99857142857142855</v>
      </c>
      <c r="D165" s="4">
        <v>0.995</v>
      </c>
      <c r="F165" s="106" t="s">
        <v>126</v>
      </c>
      <c r="H165" s="61">
        <v>-3.9390000000000001</v>
      </c>
      <c r="I165" s="61">
        <v>-3.8140000000000001</v>
      </c>
      <c r="J165" s="61">
        <v>-3.8140000000000001</v>
      </c>
      <c r="K165" s="86">
        <v>-7</v>
      </c>
      <c r="L165" s="86">
        <v>-2</v>
      </c>
      <c r="M165" s="61">
        <v>-1.2999999999999999E-2</v>
      </c>
      <c r="N165" s="61">
        <v>0</v>
      </c>
      <c r="O165" s="61">
        <v>0</v>
      </c>
      <c r="P165" s="61">
        <v>0</v>
      </c>
      <c r="Q165" s="61">
        <v>0</v>
      </c>
      <c r="R165" s="61">
        <v>0</v>
      </c>
      <c r="S165" s="61">
        <v>0</v>
      </c>
      <c r="T165" s="61">
        <v>0</v>
      </c>
      <c r="U165" s="61">
        <v>0</v>
      </c>
      <c r="V165" s="61">
        <v>0</v>
      </c>
      <c r="W165" s="61">
        <v>0</v>
      </c>
      <c r="X165" s="61">
        <v>0</v>
      </c>
      <c r="Y165" s="61">
        <v>-1.2999999999999999E-2</v>
      </c>
      <c r="AA165" s="61">
        <v>-7</v>
      </c>
      <c r="AB165" s="60">
        <v>6.99</v>
      </c>
      <c r="AD165" s="61">
        <v>-2</v>
      </c>
      <c r="AE165" s="60">
        <v>1.99</v>
      </c>
    </row>
    <row r="166" spans="1:31" ht="18" hidden="1" customHeight="1" outlineLevel="1" x14ac:dyDescent="0.2">
      <c r="A166" s="30" t="s">
        <v>73</v>
      </c>
      <c r="B166" s="30" t="s">
        <v>18</v>
      </c>
      <c r="C166" s="4">
        <v>0</v>
      </c>
      <c r="D166" s="4">
        <v>0</v>
      </c>
      <c r="F166" s="38" t="s">
        <v>72</v>
      </c>
      <c r="G166" s="34"/>
      <c r="H166" s="66">
        <v>0.35099999999999998</v>
      </c>
      <c r="I166" s="66">
        <v>0</v>
      </c>
      <c r="J166" s="66">
        <v>0</v>
      </c>
      <c r="K166" s="86">
        <v>0</v>
      </c>
      <c r="L166" s="8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34"/>
      <c r="AA166" s="66">
        <v>0</v>
      </c>
      <c r="AB166" s="60">
        <v>0</v>
      </c>
      <c r="AC166" s="34"/>
      <c r="AD166" s="66">
        <v>0</v>
      </c>
      <c r="AE166" s="60">
        <v>0</v>
      </c>
    </row>
    <row r="167" spans="1:31" ht="18" hidden="1" customHeight="1" outlineLevel="1" x14ac:dyDescent="0.2">
      <c r="A167" s="30" t="s">
        <v>129</v>
      </c>
      <c r="B167" s="30" t="s">
        <v>18</v>
      </c>
      <c r="C167" s="4">
        <v>0</v>
      </c>
      <c r="D167" s="4">
        <v>0</v>
      </c>
      <c r="F167" s="38" t="s">
        <v>190</v>
      </c>
      <c r="G167" s="34"/>
      <c r="H167" s="66">
        <v>0</v>
      </c>
      <c r="I167" s="66">
        <v>0</v>
      </c>
      <c r="J167" s="66">
        <v>0</v>
      </c>
      <c r="K167" s="86">
        <v>0</v>
      </c>
      <c r="L167" s="8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34"/>
      <c r="AA167" s="66">
        <v>0</v>
      </c>
      <c r="AB167" s="60">
        <v>0</v>
      </c>
      <c r="AC167" s="34"/>
      <c r="AD167" s="66">
        <v>0</v>
      </c>
      <c r="AE167" s="60">
        <v>0</v>
      </c>
    </row>
    <row r="168" spans="1:31" ht="18" hidden="1" customHeight="1" outlineLevel="1" x14ac:dyDescent="0.2">
      <c r="A168" s="30" t="s">
        <v>172</v>
      </c>
      <c r="B168" s="30" t="s">
        <v>18</v>
      </c>
      <c r="C168" s="4">
        <v>0</v>
      </c>
      <c r="D168" s="4">
        <v>0</v>
      </c>
      <c r="F168" s="38" t="s">
        <v>173</v>
      </c>
      <c r="G168" s="34"/>
      <c r="H168" s="66">
        <v>0</v>
      </c>
      <c r="I168" s="66">
        <v>0</v>
      </c>
      <c r="J168" s="66">
        <v>0</v>
      </c>
      <c r="K168" s="86">
        <v>0</v>
      </c>
      <c r="L168" s="86">
        <v>0</v>
      </c>
      <c r="M168" s="66">
        <v>0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34"/>
      <c r="AA168" s="66">
        <v>0</v>
      </c>
      <c r="AB168" s="60">
        <v>0</v>
      </c>
      <c r="AC168" s="34"/>
      <c r="AD168" s="66">
        <v>0</v>
      </c>
      <c r="AE168" s="60">
        <v>0</v>
      </c>
    </row>
    <row r="169" spans="1:31" ht="18" hidden="1" customHeight="1" outlineLevel="1" x14ac:dyDescent="0.2">
      <c r="A169" s="30" t="s">
        <v>88</v>
      </c>
      <c r="B169" s="30" t="s">
        <v>18</v>
      </c>
      <c r="C169" s="4">
        <v>0</v>
      </c>
      <c r="D169" s="4">
        <v>0</v>
      </c>
      <c r="F169" s="38" t="s">
        <v>93</v>
      </c>
      <c r="G169" s="34"/>
      <c r="H169" s="66">
        <v>0</v>
      </c>
      <c r="I169" s="66">
        <v>0</v>
      </c>
      <c r="J169" s="66">
        <v>0</v>
      </c>
      <c r="K169" s="86">
        <v>0</v>
      </c>
      <c r="L169" s="8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34"/>
      <c r="AA169" s="66">
        <v>0</v>
      </c>
      <c r="AB169" s="60">
        <v>0</v>
      </c>
      <c r="AC169" s="34"/>
      <c r="AD169" s="66">
        <v>0</v>
      </c>
      <c r="AE169" s="60">
        <v>0</v>
      </c>
    </row>
    <row r="170" spans="1:31" ht="18" hidden="1" customHeight="1" outlineLevel="1" x14ac:dyDescent="0.2">
      <c r="A170" s="30" t="s">
        <v>174</v>
      </c>
      <c r="B170" s="30" t="s">
        <v>18</v>
      </c>
      <c r="C170" s="4">
        <v>0</v>
      </c>
      <c r="D170" s="4">
        <v>0</v>
      </c>
      <c r="F170" s="38" t="s">
        <v>175</v>
      </c>
      <c r="G170" s="34"/>
      <c r="H170" s="66">
        <v>0</v>
      </c>
      <c r="I170" s="66">
        <v>0</v>
      </c>
      <c r="J170" s="66">
        <v>0</v>
      </c>
      <c r="K170" s="86">
        <v>0</v>
      </c>
      <c r="L170" s="8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34"/>
      <c r="AA170" s="66">
        <v>0</v>
      </c>
      <c r="AB170" s="60">
        <v>0</v>
      </c>
      <c r="AC170" s="34"/>
      <c r="AD170" s="66">
        <v>0</v>
      </c>
      <c r="AE170" s="60">
        <v>0</v>
      </c>
    </row>
    <row r="171" spans="1:31" ht="18" hidden="1" customHeight="1" outlineLevel="1" x14ac:dyDescent="0.2">
      <c r="A171" s="30" t="s">
        <v>130</v>
      </c>
      <c r="B171" s="30" t="s">
        <v>18</v>
      </c>
      <c r="C171" s="4">
        <v>0</v>
      </c>
      <c r="D171" s="4">
        <v>0</v>
      </c>
      <c r="F171" s="38" t="s">
        <v>176</v>
      </c>
      <c r="G171" s="34"/>
      <c r="H171" s="66">
        <v>0</v>
      </c>
      <c r="I171" s="66">
        <v>0</v>
      </c>
      <c r="J171" s="66">
        <v>0</v>
      </c>
      <c r="K171" s="86">
        <v>0</v>
      </c>
      <c r="L171" s="8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34"/>
      <c r="AA171" s="66">
        <v>0</v>
      </c>
      <c r="AB171" s="60">
        <v>0</v>
      </c>
      <c r="AC171" s="34"/>
      <c r="AD171" s="66">
        <v>0</v>
      </c>
      <c r="AE171" s="60">
        <v>0</v>
      </c>
    </row>
    <row r="172" spans="1:31" ht="18" hidden="1" customHeight="1" outlineLevel="1" x14ac:dyDescent="0.2">
      <c r="A172" s="30" t="s">
        <v>177</v>
      </c>
      <c r="B172" s="30" t="s">
        <v>18</v>
      </c>
      <c r="C172" s="4">
        <v>0</v>
      </c>
      <c r="D172" s="4">
        <v>0</v>
      </c>
      <c r="F172" s="38" t="s">
        <v>178</v>
      </c>
      <c r="G172" s="34"/>
      <c r="H172" s="66">
        <v>0</v>
      </c>
      <c r="I172" s="66">
        <v>0</v>
      </c>
      <c r="J172" s="66">
        <v>0</v>
      </c>
      <c r="K172" s="86">
        <v>0</v>
      </c>
      <c r="L172" s="8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34"/>
      <c r="AA172" s="66">
        <v>0</v>
      </c>
      <c r="AB172" s="60">
        <v>0</v>
      </c>
      <c r="AC172" s="34"/>
      <c r="AD172" s="66">
        <v>0</v>
      </c>
      <c r="AE172" s="60">
        <v>0</v>
      </c>
    </row>
    <row r="173" spans="1:31" ht="18" hidden="1" customHeight="1" outlineLevel="1" x14ac:dyDescent="0.2">
      <c r="A173" s="30" t="s">
        <v>179</v>
      </c>
      <c r="B173" s="30" t="s">
        <v>18</v>
      </c>
      <c r="C173" s="4">
        <v>0</v>
      </c>
      <c r="D173" s="4">
        <v>0</v>
      </c>
      <c r="F173" s="38" t="s">
        <v>180</v>
      </c>
      <c r="G173" s="34"/>
      <c r="H173" s="66">
        <v>0</v>
      </c>
      <c r="I173" s="66">
        <v>0</v>
      </c>
      <c r="J173" s="66">
        <v>0</v>
      </c>
      <c r="K173" s="86">
        <v>0</v>
      </c>
      <c r="L173" s="8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34"/>
      <c r="AA173" s="66">
        <v>0</v>
      </c>
      <c r="AB173" s="60">
        <v>0</v>
      </c>
      <c r="AC173" s="34"/>
      <c r="AD173" s="66">
        <v>0</v>
      </c>
      <c r="AE173" s="60">
        <v>0</v>
      </c>
    </row>
    <row r="174" spans="1:31" ht="18" hidden="1" customHeight="1" outlineLevel="1" x14ac:dyDescent="0.2">
      <c r="A174" s="30" t="s">
        <v>78</v>
      </c>
      <c r="B174" s="30" t="s">
        <v>18</v>
      </c>
      <c r="C174" s="4">
        <v>0</v>
      </c>
      <c r="D174" s="4">
        <v>0</v>
      </c>
      <c r="F174" s="38" t="s">
        <v>77</v>
      </c>
      <c r="G174" s="34"/>
      <c r="H174" s="66">
        <v>0</v>
      </c>
      <c r="I174" s="66">
        <v>0</v>
      </c>
      <c r="J174" s="66">
        <v>0</v>
      </c>
      <c r="K174" s="86">
        <v>0</v>
      </c>
      <c r="L174" s="8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34"/>
      <c r="AA174" s="66">
        <v>0</v>
      </c>
      <c r="AB174" s="60">
        <v>0</v>
      </c>
      <c r="AC174" s="34"/>
      <c r="AD174" s="66">
        <v>0</v>
      </c>
      <c r="AE174" s="60">
        <v>0</v>
      </c>
    </row>
    <row r="175" spans="1:31" ht="18" hidden="1" customHeight="1" outlineLevel="1" x14ac:dyDescent="0.2">
      <c r="A175" s="30" t="s">
        <v>193</v>
      </c>
      <c r="B175" s="30" t="s">
        <v>18</v>
      </c>
      <c r="C175" s="4">
        <v>0</v>
      </c>
      <c r="D175" s="4">
        <v>0</v>
      </c>
      <c r="F175" s="38" t="s">
        <v>268</v>
      </c>
      <c r="G175" s="34"/>
      <c r="H175" s="66">
        <v>0</v>
      </c>
      <c r="I175" s="66">
        <v>0</v>
      </c>
      <c r="J175" s="66">
        <v>0</v>
      </c>
      <c r="K175" s="86">
        <v>0</v>
      </c>
      <c r="L175" s="8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34"/>
      <c r="AA175" s="66">
        <v>0</v>
      </c>
      <c r="AB175" s="60">
        <v>0</v>
      </c>
      <c r="AC175" s="34"/>
      <c r="AD175" s="66">
        <v>0</v>
      </c>
      <c r="AE175" s="60">
        <v>0</v>
      </c>
    </row>
    <row r="176" spans="1:31" ht="18" hidden="1" customHeight="1" outlineLevel="1" x14ac:dyDescent="0.2">
      <c r="A176" s="30" t="s">
        <v>181</v>
      </c>
      <c r="B176" s="30" t="s">
        <v>18</v>
      </c>
      <c r="C176" s="4">
        <v>0</v>
      </c>
      <c r="D176" s="4">
        <v>0</v>
      </c>
      <c r="F176" s="38" t="s">
        <v>182</v>
      </c>
      <c r="G176" s="34"/>
      <c r="H176" s="66">
        <v>0</v>
      </c>
      <c r="I176" s="66">
        <v>0</v>
      </c>
      <c r="J176" s="66">
        <v>0</v>
      </c>
      <c r="K176" s="86">
        <v>0</v>
      </c>
      <c r="L176" s="8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34"/>
      <c r="AA176" s="66">
        <v>0</v>
      </c>
      <c r="AB176" s="60">
        <v>0</v>
      </c>
      <c r="AC176" s="34"/>
      <c r="AD176" s="66">
        <v>0</v>
      </c>
      <c r="AE176" s="60">
        <v>0</v>
      </c>
    </row>
    <row r="177" spans="1:31" ht="18" hidden="1" customHeight="1" outlineLevel="1" x14ac:dyDescent="0.2">
      <c r="A177" s="30" t="s">
        <v>90</v>
      </c>
      <c r="B177" s="30" t="s">
        <v>18</v>
      </c>
      <c r="C177" s="4">
        <v>-1.0105263157894737</v>
      </c>
      <c r="D177" s="4">
        <v>-2.1276595744680854E-2</v>
      </c>
      <c r="F177" s="38" t="s">
        <v>95</v>
      </c>
      <c r="G177" s="34"/>
      <c r="H177" s="66">
        <v>0</v>
      </c>
      <c r="I177" s="66">
        <v>-2.0710000000000002</v>
      </c>
      <c r="J177" s="66">
        <v>-2.0710000000000002</v>
      </c>
      <c r="K177" s="86">
        <v>0</v>
      </c>
      <c r="L177" s="86">
        <v>-0.47</v>
      </c>
      <c r="M177" s="66">
        <v>0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-0.47499999999999998</v>
      </c>
      <c r="W177" s="66">
        <v>0</v>
      </c>
      <c r="X177" s="66">
        <v>0</v>
      </c>
      <c r="Y177" s="66">
        <v>-0.47499999999999998</v>
      </c>
      <c r="Z177" s="34"/>
      <c r="AA177" s="66">
        <v>0</v>
      </c>
      <c r="AB177" s="60">
        <v>-0.48</v>
      </c>
      <c r="AC177" s="34"/>
      <c r="AD177" s="66">
        <v>-0.47</v>
      </c>
      <c r="AE177" s="60">
        <v>-0.01</v>
      </c>
    </row>
    <row r="178" spans="1:31" ht="18" hidden="1" customHeight="1" outlineLevel="1" x14ac:dyDescent="0.2">
      <c r="A178" s="30" t="s">
        <v>127</v>
      </c>
      <c r="B178" s="30" t="s">
        <v>18</v>
      </c>
      <c r="C178" s="4">
        <v>-0.99579242636746146</v>
      </c>
      <c r="D178" s="4">
        <v>0.21978021978021978</v>
      </c>
      <c r="F178" s="38" t="s">
        <v>128</v>
      </c>
      <c r="G178" s="34"/>
      <c r="H178" s="66">
        <v>0</v>
      </c>
      <c r="I178" s="66">
        <v>-0.91600000000000004</v>
      </c>
      <c r="J178" s="66">
        <v>-0.91600000000000004</v>
      </c>
      <c r="K178" s="86">
        <v>0</v>
      </c>
      <c r="L178" s="86">
        <v>-0.91</v>
      </c>
      <c r="M178" s="66">
        <v>0</v>
      </c>
      <c r="N178" s="66">
        <v>-0.3</v>
      </c>
      <c r="O178" s="66">
        <v>0</v>
      </c>
      <c r="P178" s="66">
        <v>0</v>
      </c>
      <c r="Q178" s="66">
        <v>0</v>
      </c>
      <c r="R178" s="66">
        <v>-0.41299999999999998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-0.71299999999999997</v>
      </c>
      <c r="Z178" s="34"/>
      <c r="AA178" s="66">
        <v>0</v>
      </c>
      <c r="AB178" s="60">
        <v>-0.71</v>
      </c>
      <c r="AC178" s="34"/>
      <c r="AD178" s="66">
        <v>-0.91</v>
      </c>
      <c r="AE178" s="60">
        <v>0.2</v>
      </c>
    </row>
    <row r="179" spans="1:31" s="209" customFormat="1" ht="18" hidden="1" customHeight="1" outlineLevel="1" x14ac:dyDescent="0.2">
      <c r="A179" s="238" t="s">
        <v>261</v>
      </c>
      <c r="B179" s="210" t="s">
        <v>18</v>
      </c>
      <c r="C179" s="208">
        <v>0</v>
      </c>
      <c r="D179" s="208">
        <v>0</v>
      </c>
      <c r="F179" s="226" t="s">
        <v>262</v>
      </c>
      <c r="G179" s="211"/>
      <c r="H179" s="215">
        <v>0</v>
      </c>
      <c r="I179" s="215">
        <v>0</v>
      </c>
      <c r="J179" s="215">
        <v>0</v>
      </c>
      <c r="K179" s="216">
        <v>0</v>
      </c>
      <c r="L179" s="216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  <c r="R179" s="215">
        <v>0</v>
      </c>
      <c r="S179" s="215">
        <v>0</v>
      </c>
      <c r="T179" s="215">
        <v>0</v>
      </c>
      <c r="U179" s="215">
        <v>0</v>
      </c>
      <c r="V179" s="215">
        <v>0</v>
      </c>
      <c r="W179" s="215">
        <v>0</v>
      </c>
      <c r="X179" s="215">
        <v>0</v>
      </c>
      <c r="Y179" s="215">
        <v>0</v>
      </c>
      <c r="Z179" s="211"/>
      <c r="AA179" s="215">
        <v>0</v>
      </c>
      <c r="AB179" s="214">
        <v>0</v>
      </c>
      <c r="AC179" s="211"/>
      <c r="AD179" s="215">
        <v>0</v>
      </c>
      <c r="AE179" s="214">
        <v>0</v>
      </c>
    </row>
    <row r="180" spans="1:31" ht="18" hidden="1" customHeight="1" outlineLevel="1" x14ac:dyDescent="0.2">
      <c r="A180" s="30" t="s">
        <v>199</v>
      </c>
      <c r="B180" s="30" t="s">
        <v>18</v>
      </c>
      <c r="C180" s="4">
        <v>0</v>
      </c>
      <c r="D180" s="4">
        <v>0</v>
      </c>
      <c r="F180" s="38" t="s">
        <v>184</v>
      </c>
      <c r="G180" s="34"/>
      <c r="H180" s="66">
        <v>0</v>
      </c>
      <c r="I180" s="66">
        <v>0</v>
      </c>
      <c r="J180" s="66">
        <v>0</v>
      </c>
      <c r="K180" s="86">
        <v>0</v>
      </c>
      <c r="L180" s="8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34"/>
      <c r="AA180" s="66">
        <v>0</v>
      </c>
      <c r="AB180" s="60">
        <v>0</v>
      </c>
      <c r="AC180" s="34"/>
      <c r="AD180" s="66">
        <v>0</v>
      </c>
      <c r="AE180" s="60">
        <v>0</v>
      </c>
    </row>
    <row r="181" spans="1:31" ht="18" hidden="1" customHeight="1" outlineLevel="1" x14ac:dyDescent="0.2">
      <c r="A181" s="30" t="s">
        <v>263</v>
      </c>
      <c r="B181" s="30" t="s">
        <v>18</v>
      </c>
      <c r="C181" s="4">
        <v>0</v>
      </c>
      <c r="D181" s="4">
        <v>0</v>
      </c>
      <c r="F181" s="38" t="s">
        <v>273</v>
      </c>
      <c r="G181" s="34"/>
      <c r="H181" s="66">
        <v>0</v>
      </c>
      <c r="I181" s="66">
        <v>0</v>
      </c>
      <c r="J181" s="66">
        <v>0</v>
      </c>
      <c r="K181" s="86">
        <v>0</v>
      </c>
      <c r="L181" s="8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34"/>
      <c r="AA181" s="66">
        <v>0</v>
      </c>
      <c r="AB181" s="60">
        <v>0</v>
      </c>
      <c r="AC181" s="34"/>
      <c r="AD181" s="66">
        <v>0</v>
      </c>
      <c r="AE181" s="60">
        <v>0</v>
      </c>
    </row>
    <row r="182" spans="1:31" ht="18" hidden="1" customHeight="1" outlineLevel="1" x14ac:dyDescent="0.2">
      <c r="A182" s="30" t="s">
        <v>195</v>
      </c>
      <c r="B182" s="30" t="s">
        <v>18</v>
      </c>
      <c r="C182" s="4">
        <v>0</v>
      </c>
      <c r="D182" s="4">
        <v>0</v>
      </c>
      <c r="F182" s="38" t="s">
        <v>196</v>
      </c>
      <c r="G182" s="34"/>
      <c r="H182" s="66">
        <v>0</v>
      </c>
      <c r="I182" s="66">
        <v>0</v>
      </c>
      <c r="J182" s="66">
        <v>0</v>
      </c>
      <c r="K182" s="86">
        <v>0</v>
      </c>
      <c r="L182" s="8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34"/>
      <c r="AA182" s="66">
        <v>0</v>
      </c>
      <c r="AB182" s="60">
        <v>0</v>
      </c>
      <c r="AC182" s="34"/>
      <c r="AD182" s="66">
        <v>0</v>
      </c>
      <c r="AE182" s="60">
        <v>0</v>
      </c>
    </row>
    <row r="183" spans="1:31" ht="18" hidden="1" customHeight="1" outlineLevel="1" x14ac:dyDescent="0.2">
      <c r="A183" s="30" t="s">
        <v>197</v>
      </c>
      <c r="B183" s="30" t="s">
        <v>18</v>
      </c>
      <c r="C183" s="4">
        <v>0</v>
      </c>
      <c r="D183" s="4">
        <v>0</v>
      </c>
      <c r="F183" s="38" t="s">
        <v>267</v>
      </c>
      <c r="G183" s="34"/>
      <c r="H183" s="66">
        <v>0</v>
      </c>
      <c r="I183" s="66">
        <v>0</v>
      </c>
      <c r="J183" s="66">
        <v>0</v>
      </c>
      <c r="K183" s="86">
        <v>0</v>
      </c>
      <c r="L183" s="8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34"/>
      <c r="AA183" s="66">
        <v>0</v>
      </c>
      <c r="AB183" s="60">
        <v>0</v>
      </c>
      <c r="AC183" s="34"/>
      <c r="AD183" s="66">
        <v>0</v>
      </c>
      <c r="AE183" s="60">
        <v>0</v>
      </c>
    </row>
    <row r="184" spans="1:31" s="237" customFormat="1" ht="18" hidden="1" customHeight="1" outlineLevel="1" x14ac:dyDescent="0.2">
      <c r="A184" s="254" t="s">
        <v>445</v>
      </c>
      <c r="B184" s="238" t="s">
        <v>18</v>
      </c>
      <c r="C184" s="236">
        <v>-0.99964425471362506</v>
      </c>
      <c r="D184" s="236">
        <v>0.16119402985074627</v>
      </c>
      <c r="F184" s="255" t="s">
        <v>444</v>
      </c>
      <c r="G184" s="239"/>
      <c r="H184" s="241">
        <v>0</v>
      </c>
      <c r="I184" s="241">
        <v>-0.182</v>
      </c>
      <c r="J184" s="241">
        <v>-0.182</v>
      </c>
      <c r="K184" s="242">
        <v>0</v>
      </c>
      <c r="L184" s="242">
        <v>-3.35</v>
      </c>
      <c r="M184" s="241">
        <v>-6.2E-2</v>
      </c>
      <c r="N184" s="241">
        <v>-6.0999999999999999E-2</v>
      </c>
      <c r="O184" s="241">
        <v>-5.6999999999999995E-2</v>
      </c>
      <c r="P184" s="241">
        <v>-5.6999999999999995E-2</v>
      </c>
      <c r="Q184" s="241">
        <v>-5.7999999999999996E-2</v>
      </c>
      <c r="R184" s="241">
        <v>-5.6999999999999995E-2</v>
      </c>
      <c r="S184" s="241">
        <v>-5.7999999999999996E-2</v>
      </c>
      <c r="T184" s="241">
        <v>-2.11</v>
      </c>
      <c r="U184" s="241">
        <v>-7.2000000000000064E-2</v>
      </c>
      <c r="V184" s="241">
        <v>-7.2000000000000064E-2</v>
      </c>
      <c r="W184" s="241">
        <v>-7.2000000000000064E-2</v>
      </c>
      <c r="X184" s="241">
        <v>-7.4999999999999734E-2</v>
      </c>
      <c r="Y184" s="241">
        <v>-2.8109999999999999</v>
      </c>
      <c r="Z184" s="239"/>
      <c r="AA184" s="241">
        <v>0</v>
      </c>
      <c r="AB184" s="240">
        <v>-2.81</v>
      </c>
      <c r="AC184" s="239"/>
      <c r="AD184" s="241">
        <v>-3.35</v>
      </c>
      <c r="AE184" s="240">
        <v>0.54</v>
      </c>
    </row>
    <row r="185" spans="1:31" ht="18" hidden="1" customHeight="1" outlineLevel="1" x14ac:dyDescent="0.2">
      <c r="A185" s="30" t="s">
        <v>257</v>
      </c>
      <c r="B185" s="30" t="s">
        <v>18</v>
      </c>
      <c r="C185" s="4">
        <v>0</v>
      </c>
      <c r="D185" s="4">
        <v>0</v>
      </c>
      <c r="F185" s="104" t="s">
        <v>260</v>
      </c>
      <c r="G185" s="36"/>
      <c r="H185" s="65">
        <v>0</v>
      </c>
      <c r="I185" s="65">
        <v>0</v>
      </c>
      <c r="J185" s="65">
        <v>0</v>
      </c>
      <c r="K185" s="90">
        <v>0</v>
      </c>
      <c r="L185" s="90">
        <v>0</v>
      </c>
      <c r="M185" s="65">
        <v>0</v>
      </c>
      <c r="N185" s="65">
        <v>0</v>
      </c>
      <c r="O185" s="65">
        <v>0</v>
      </c>
      <c r="P185" s="65">
        <v>0</v>
      </c>
      <c r="Q185" s="65">
        <v>0</v>
      </c>
      <c r="R185" s="65">
        <v>0</v>
      </c>
      <c r="S185" s="65">
        <v>0</v>
      </c>
      <c r="T185" s="65">
        <v>0</v>
      </c>
      <c r="U185" s="65">
        <v>0</v>
      </c>
      <c r="V185" s="65">
        <v>0</v>
      </c>
      <c r="W185" s="65">
        <v>0</v>
      </c>
      <c r="X185" s="65">
        <v>0</v>
      </c>
      <c r="Y185" s="65">
        <v>0</v>
      </c>
      <c r="Z185" s="36"/>
      <c r="AA185" s="65">
        <v>0</v>
      </c>
      <c r="AB185" s="60">
        <v>0</v>
      </c>
      <c r="AC185" s="36"/>
      <c r="AD185" s="65">
        <v>0</v>
      </c>
      <c r="AE185" s="60">
        <v>0</v>
      </c>
    </row>
    <row r="186" spans="1:31" ht="18" hidden="1" customHeight="1" outlineLevel="1" x14ac:dyDescent="0.2">
      <c r="A186" s="30" t="s">
        <v>200</v>
      </c>
      <c r="B186" s="30" t="s">
        <v>18</v>
      </c>
      <c r="C186" s="4">
        <v>0</v>
      </c>
      <c r="D186" s="4">
        <v>0</v>
      </c>
      <c r="F186" s="104" t="s">
        <v>183</v>
      </c>
      <c r="G186" s="36"/>
      <c r="H186" s="65">
        <v>0</v>
      </c>
      <c r="I186" s="65">
        <v>0</v>
      </c>
      <c r="J186" s="65">
        <v>0</v>
      </c>
      <c r="K186" s="90">
        <v>0</v>
      </c>
      <c r="L186" s="90">
        <v>0</v>
      </c>
      <c r="M186" s="65">
        <v>0</v>
      </c>
      <c r="N186" s="65">
        <v>0</v>
      </c>
      <c r="O186" s="65">
        <v>0</v>
      </c>
      <c r="P186" s="65">
        <v>0</v>
      </c>
      <c r="Q186" s="65">
        <v>0</v>
      </c>
      <c r="R186" s="65">
        <v>0</v>
      </c>
      <c r="S186" s="65">
        <v>0</v>
      </c>
      <c r="T186" s="65">
        <v>0</v>
      </c>
      <c r="U186" s="65">
        <v>0</v>
      </c>
      <c r="V186" s="65">
        <v>0</v>
      </c>
      <c r="W186" s="65">
        <v>0</v>
      </c>
      <c r="X186" s="65">
        <v>0</v>
      </c>
      <c r="Y186" s="65">
        <v>0</v>
      </c>
      <c r="Z186" s="36"/>
      <c r="AA186" s="65">
        <v>0</v>
      </c>
      <c r="AB186" s="60">
        <v>0</v>
      </c>
      <c r="AC186" s="36"/>
      <c r="AD186" s="65">
        <v>0</v>
      </c>
      <c r="AE186" s="60">
        <v>0</v>
      </c>
    </row>
    <row r="187" spans="1:31" ht="18" hidden="1" customHeight="1" outlineLevel="1" x14ac:dyDescent="0.2">
      <c r="A187" s="30" t="s">
        <v>256</v>
      </c>
      <c r="B187" s="30" t="s">
        <v>18</v>
      </c>
      <c r="C187" s="4">
        <v>0</v>
      </c>
      <c r="D187" s="4">
        <v>0</v>
      </c>
      <c r="F187" s="104" t="s">
        <v>259</v>
      </c>
      <c r="G187" s="36"/>
      <c r="H187" s="65">
        <v>0</v>
      </c>
      <c r="I187" s="65">
        <v>-1.552</v>
      </c>
      <c r="J187" s="65">
        <v>-1.552</v>
      </c>
      <c r="K187" s="90">
        <v>0</v>
      </c>
      <c r="L187" s="90">
        <v>0</v>
      </c>
      <c r="M187" s="65">
        <v>0</v>
      </c>
      <c r="N187" s="65">
        <v>0</v>
      </c>
      <c r="O187" s="65">
        <v>0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36"/>
      <c r="AA187" s="65">
        <v>0</v>
      </c>
      <c r="AB187" s="60">
        <v>0</v>
      </c>
      <c r="AC187" s="36"/>
      <c r="AD187" s="65">
        <v>0</v>
      </c>
      <c r="AE187" s="60">
        <v>0</v>
      </c>
    </row>
    <row r="188" spans="1:31" ht="18" hidden="1" customHeight="1" outlineLevel="1" x14ac:dyDescent="0.2">
      <c r="A188" s="30" t="s">
        <v>185</v>
      </c>
      <c r="B188" s="30" t="s">
        <v>18</v>
      </c>
      <c r="C188" s="4">
        <v>0</v>
      </c>
      <c r="D188" s="4">
        <v>0</v>
      </c>
      <c r="F188" s="38" t="s">
        <v>186</v>
      </c>
      <c r="G188" s="34"/>
      <c r="H188" s="66">
        <v>0</v>
      </c>
      <c r="I188" s="66">
        <v>0</v>
      </c>
      <c r="J188" s="66">
        <v>0</v>
      </c>
      <c r="K188" s="86">
        <v>0</v>
      </c>
      <c r="L188" s="86">
        <v>0</v>
      </c>
      <c r="M188" s="66">
        <v>0</v>
      </c>
      <c r="N188" s="66">
        <v>0</v>
      </c>
      <c r="O188" s="66">
        <v>0</v>
      </c>
      <c r="P188" s="66">
        <v>0</v>
      </c>
      <c r="Q188" s="66">
        <v>0</v>
      </c>
      <c r="R188" s="66">
        <v>0</v>
      </c>
      <c r="S188" s="66">
        <v>0</v>
      </c>
      <c r="T188" s="66">
        <v>0</v>
      </c>
      <c r="U188" s="66">
        <v>0</v>
      </c>
      <c r="V188" s="66">
        <v>0</v>
      </c>
      <c r="W188" s="66">
        <v>0</v>
      </c>
      <c r="X188" s="66">
        <v>0</v>
      </c>
      <c r="Y188" s="66">
        <v>0</v>
      </c>
      <c r="Z188" s="34"/>
      <c r="AA188" s="66">
        <v>0</v>
      </c>
      <c r="AB188" s="60">
        <v>0</v>
      </c>
      <c r="AC188" s="34"/>
      <c r="AD188" s="66">
        <v>0</v>
      </c>
      <c r="AE188" s="60">
        <v>0</v>
      </c>
    </row>
    <row r="189" spans="1:31" ht="18" customHeight="1" collapsed="1" x14ac:dyDescent="0.2">
      <c r="A189" s="35"/>
      <c r="B189" s="35"/>
      <c r="C189" s="4">
        <v>-1.000250062515629</v>
      </c>
      <c r="D189" s="4">
        <v>0.15433403805496826</v>
      </c>
      <c r="F189" s="106" t="s">
        <v>188</v>
      </c>
      <c r="H189" s="61">
        <v>0.35099999999999998</v>
      </c>
      <c r="I189" s="61">
        <v>-4.7210000000000001</v>
      </c>
      <c r="J189" s="61">
        <v>-4.7210000000000001</v>
      </c>
      <c r="K189" s="86">
        <v>0</v>
      </c>
      <c r="L189" s="86">
        <v>-4.7300000000000004</v>
      </c>
      <c r="M189" s="61">
        <v>-6.2E-2</v>
      </c>
      <c r="N189" s="61">
        <v>-0.36099999999999999</v>
      </c>
      <c r="O189" s="61">
        <v>-5.6999999999999995E-2</v>
      </c>
      <c r="P189" s="61">
        <v>-5.6999999999999995E-2</v>
      </c>
      <c r="Q189" s="61">
        <v>-5.7999999999999996E-2</v>
      </c>
      <c r="R189" s="61">
        <v>-0.47</v>
      </c>
      <c r="S189" s="61">
        <v>-5.7999999999999996E-2</v>
      </c>
      <c r="T189" s="61">
        <v>-2.11</v>
      </c>
      <c r="U189" s="61">
        <v>-7.2000000000000064E-2</v>
      </c>
      <c r="V189" s="61">
        <v>-0.54700000000000004</v>
      </c>
      <c r="W189" s="61">
        <v>-7.2000000000000064E-2</v>
      </c>
      <c r="X189" s="61">
        <v>-7.4999999999999734E-2</v>
      </c>
      <c r="Y189" s="61">
        <v>-3.9989999999999997</v>
      </c>
      <c r="AA189" s="61">
        <v>0</v>
      </c>
      <c r="AB189" s="60">
        <v>-4</v>
      </c>
      <c r="AD189" s="61">
        <v>-4.7300000000000004</v>
      </c>
      <c r="AE189" s="60">
        <v>0.73</v>
      </c>
    </row>
    <row r="190" spans="1:31" ht="18" customHeight="1" x14ac:dyDescent="0.2">
      <c r="A190" s="35"/>
      <c r="B190" s="35"/>
      <c r="C190" s="4">
        <v>0.17178736259610328</v>
      </c>
      <c r="D190" s="4">
        <v>8.7683017619323345E-2</v>
      </c>
      <c r="F190" s="95" t="s">
        <v>87</v>
      </c>
      <c r="H190" s="64">
        <v>-116.773</v>
      </c>
      <c r="I190" s="64">
        <v>-190.185</v>
      </c>
      <c r="J190" s="64">
        <v>-190.185</v>
      </c>
      <c r="K190" s="89">
        <v>-173.12100000000001</v>
      </c>
      <c r="L190" s="89">
        <v>-157.15700000000001</v>
      </c>
      <c r="M190" s="64">
        <v>-12.478999999999999</v>
      </c>
      <c r="N190" s="64">
        <v>-13.715999999999999</v>
      </c>
      <c r="O190" s="64">
        <v>-15.974000000000002</v>
      </c>
      <c r="P190" s="64">
        <v>-10.379999999999997</v>
      </c>
      <c r="Q190" s="64">
        <v>-9.1929999999999996</v>
      </c>
      <c r="R190" s="64">
        <v>-9.8990000000000009</v>
      </c>
      <c r="S190" s="64">
        <v>-13.345000000000004</v>
      </c>
      <c r="T190" s="64">
        <v>-11.940999999999999</v>
      </c>
      <c r="U190" s="64">
        <v>-11.998000000000005</v>
      </c>
      <c r="V190" s="64">
        <v>-13.214999999999989</v>
      </c>
      <c r="W190" s="64">
        <v>-10.188000000000002</v>
      </c>
      <c r="X190" s="64">
        <v>-11.051000000000005</v>
      </c>
      <c r="Y190" s="64">
        <v>-143.37900000000002</v>
      </c>
      <c r="AA190" s="64">
        <v>-173.12100000000001</v>
      </c>
      <c r="AB190" s="60">
        <v>29.74</v>
      </c>
      <c r="AD190" s="64">
        <v>-157.15700000000001</v>
      </c>
      <c r="AE190" s="60">
        <v>13.78</v>
      </c>
    </row>
    <row r="191" spans="1:31" ht="12.95" customHeight="1" x14ac:dyDescent="0.2">
      <c r="A191" s="35"/>
      <c r="B191" s="35"/>
      <c r="C191" s="4"/>
      <c r="D191" s="4"/>
      <c r="F191" s="39" t="s">
        <v>223</v>
      </c>
      <c r="H191" s="56">
        <v>6.8665514685292799E-3</v>
      </c>
      <c r="I191" s="56">
        <v>1.0821309419122396E-2</v>
      </c>
      <c r="J191" s="56">
        <v>1.0821309419122396E-2</v>
      </c>
      <c r="K191" s="109">
        <v>9.9747440846456314E-3</v>
      </c>
      <c r="L191" s="109">
        <v>8.7287103795156435E-3</v>
      </c>
      <c r="M191" s="56">
        <v>9.0071882833651744E-3</v>
      </c>
      <c r="N191" s="56">
        <v>9.9761070925931984E-3</v>
      </c>
      <c r="O191" s="56">
        <v>1.1199246185708099E-2</v>
      </c>
      <c r="P191" s="56">
        <v>6.7898165833747588E-3</v>
      </c>
      <c r="Q191" s="56">
        <v>5.6402406289975731E-3</v>
      </c>
      <c r="R191" s="56">
        <v>6.3154496607814381E-3</v>
      </c>
      <c r="S191" s="56">
        <v>9.113146422210814E-3</v>
      </c>
      <c r="T191" s="56">
        <v>7.8822279885433378E-3</v>
      </c>
      <c r="U191" s="56">
        <v>7.9137155679499145E-3</v>
      </c>
      <c r="V191" s="56">
        <v>8.3876377073663268E-3</v>
      </c>
      <c r="W191" s="56">
        <v>6.4407270410017908E-3</v>
      </c>
      <c r="X191" s="56">
        <v>6.8200472731536647E-3</v>
      </c>
      <c r="Y191" s="56">
        <v>7.8840880309822975E-3</v>
      </c>
      <c r="AA191" s="56">
        <v>9.9747440846456314E-3</v>
      </c>
      <c r="AB191" s="57"/>
      <c r="AD191" s="56">
        <v>8.7287103795156435E-3</v>
      </c>
      <c r="AE191" s="57"/>
    </row>
    <row r="192" spans="1:31" ht="6.95" customHeight="1" x14ac:dyDescent="0.2">
      <c r="C192" s="4"/>
      <c r="D192" s="4"/>
      <c r="F192" s="96"/>
      <c r="H192" s="16"/>
      <c r="I192" s="16"/>
      <c r="J192" s="16"/>
      <c r="K192" s="85"/>
      <c r="L192" s="85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AA192" s="16"/>
      <c r="AB192" s="20"/>
      <c r="AD192" s="16"/>
      <c r="AE192" s="20"/>
    </row>
    <row r="193" spans="1:31" s="40" customFormat="1" ht="18" customHeight="1" x14ac:dyDescent="0.2">
      <c r="A193" s="35"/>
      <c r="B193" s="35"/>
      <c r="C193" s="4">
        <v>-2.2011224986673593E-2</v>
      </c>
      <c r="D193" s="4">
        <v>-6.4063245091214608E-3</v>
      </c>
      <c r="E193" s="8"/>
      <c r="F193" s="100" t="s">
        <v>277</v>
      </c>
      <c r="G193" s="8"/>
      <c r="H193" s="62">
        <v>-10981.15</v>
      </c>
      <c r="I193" s="62">
        <v>-11458.562</v>
      </c>
      <c r="J193" s="62">
        <v>-11458.562</v>
      </c>
      <c r="K193" s="108">
        <v>-11462.333429999999</v>
      </c>
      <c r="L193" s="108">
        <v>-11640.059740000001</v>
      </c>
      <c r="M193" s="62">
        <v>-963.48000000000013</v>
      </c>
      <c r="N193" s="62">
        <v>-984.55799999999999</v>
      </c>
      <c r="O193" s="62">
        <v>-1069.2010000000002</v>
      </c>
      <c r="P193" s="62">
        <v>-983.96100000000013</v>
      </c>
      <c r="Q193" s="62">
        <v>-832.05799999999965</v>
      </c>
      <c r="R193" s="62">
        <v>-1073.19</v>
      </c>
      <c r="S193" s="62">
        <v>-815.98300000000017</v>
      </c>
      <c r="T193" s="62">
        <v>-765.13600000000019</v>
      </c>
      <c r="U193" s="62">
        <v>-1031.7459999999996</v>
      </c>
      <c r="V193" s="62">
        <v>-1107.9310000000007</v>
      </c>
      <c r="W193" s="62">
        <v>-1026.8639999999998</v>
      </c>
      <c r="X193" s="62">
        <v>-1060.5239999999997</v>
      </c>
      <c r="Y193" s="62">
        <v>-11714.632000000001</v>
      </c>
      <c r="Z193" s="8"/>
      <c r="AA193" s="62">
        <v>-11462.333429999999</v>
      </c>
      <c r="AB193" s="60">
        <v>-252.3</v>
      </c>
      <c r="AC193" s="8"/>
      <c r="AD193" s="62">
        <v>-11640.059740000002</v>
      </c>
      <c r="AE193" s="60">
        <v>-74.569999999999993</v>
      </c>
    </row>
    <row r="194" spans="1:31" ht="12.95" customHeight="1" x14ac:dyDescent="0.2">
      <c r="A194" s="35"/>
      <c r="B194" s="35"/>
      <c r="C194" s="4"/>
      <c r="D194" s="4"/>
      <c r="F194" s="39" t="s">
        <v>223</v>
      </c>
      <c r="H194" s="56">
        <v>0.64571974393601517</v>
      </c>
      <c r="I194" s="56">
        <v>0.65197909877328897</v>
      </c>
      <c r="J194" s="56">
        <v>0.65197909877328897</v>
      </c>
      <c r="K194" s="109">
        <v>0.66042734605927855</v>
      </c>
      <c r="L194" s="109">
        <v>0.64650451631629624</v>
      </c>
      <c r="M194" s="56">
        <v>0.69542798038758558</v>
      </c>
      <c r="N194" s="56">
        <v>0.71610207399164294</v>
      </c>
      <c r="O194" s="56">
        <v>0.74960844002787574</v>
      </c>
      <c r="P194" s="56">
        <v>0.64363340223449073</v>
      </c>
      <c r="Q194" s="56">
        <v>0.51049791550989465</v>
      </c>
      <c r="R194" s="56">
        <v>0.68468304085806964</v>
      </c>
      <c r="S194" s="56">
        <v>0.55722536957923163</v>
      </c>
      <c r="T194" s="56">
        <v>0.5050646004724979</v>
      </c>
      <c r="U194" s="56">
        <v>0.68052545277296594</v>
      </c>
      <c r="V194" s="56">
        <v>0.70321027868029484</v>
      </c>
      <c r="W194" s="56">
        <v>0.64917066472627205</v>
      </c>
      <c r="X194" s="56">
        <v>0.65449496102741933</v>
      </c>
      <c r="Y194" s="56">
        <v>0.64416120867464699</v>
      </c>
      <c r="AA194" s="56">
        <v>0.66042734605927855</v>
      </c>
      <c r="AB194" s="57"/>
      <c r="AD194" s="56">
        <v>0.64650451631629624</v>
      </c>
      <c r="AE194" s="57"/>
    </row>
    <row r="195" spans="1:31" ht="6.95" customHeight="1" x14ac:dyDescent="0.2">
      <c r="C195" s="4"/>
      <c r="D195" s="4"/>
      <c r="F195" s="96"/>
      <c r="H195" s="16"/>
      <c r="I195" s="16"/>
      <c r="J195" s="16"/>
      <c r="K195" s="85"/>
      <c r="L195" s="85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AA195" s="16"/>
      <c r="AB195" s="20"/>
      <c r="AD195" s="16"/>
      <c r="AE195" s="20"/>
    </row>
    <row r="196" spans="1:31" ht="18" customHeight="1" x14ac:dyDescent="0.2">
      <c r="A196" s="35"/>
      <c r="B196" s="35"/>
      <c r="C196" s="4">
        <v>7.5994291550708165E-2</v>
      </c>
      <c r="D196" s="4">
        <v>2.0214525717048328E-2</v>
      </c>
      <c r="F196" s="101" t="s">
        <v>278</v>
      </c>
      <c r="H196" s="77">
        <v>5836.8750000000018</v>
      </c>
      <c r="I196" s="77">
        <v>5956.4760000000006</v>
      </c>
      <c r="J196" s="77">
        <v>5956.4760000000006</v>
      </c>
      <c r="K196" s="114">
        <v>5893.6005700000023</v>
      </c>
      <c r="L196" s="114">
        <v>6215.8272599999982</v>
      </c>
      <c r="M196" s="77">
        <v>361.64399999999989</v>
      </c>
      <c r="N196" s="77">
        <v>320.92799999999988</v>
      </c>
      <c r="O196" s="77">
        <v>323.40399999999954</v>
      </c>
      <c r="P196" s="77">
        <v>559.46500000000003</v>
      </c>
      <c r="Q196" s="77">
        <v>829.66600000000028</v>
      </c>
      <c r="R196" s="77">
        <v>533.92899999999895</v>
      </c>
      <c r="S196" s="77">
        <v>594.46799999999962</v>
      </c>
      <c r="T196" s="77">
        <v>641.91900000000032</v>
      </c>
      <c r="U196" s="77">
        <v>493.26900000000069</v>
      </c>
      <c r="V196" s="77">
        <v>517.62299999999914</v>
      </c>
      <c r="W196" s="77">
        <v>568.7290000000005</v>
      </c>
      <c r="X196" s="77">
        <v>596.4330000000009</v>
      </c>
      <c r="Y196" s="77">
        <v>6341.4769999999953</v>
      </c>
      <c r="AA196" s="77">
        <v>5893.6005700000023</v>
      </c>
      <c r="AB196" s="60">
        <v>447.88</v>
      </c>
      <c r="AD196" s="77">
        <v>6215.8272599999982</v>
      </c>
      <c r="AE196" s="60">
        <v>125.65</v>
      </c>
    </row>
    <row r="197" spans="1:31" ht="12.95" customHeight="1" x14ac:dyDescent="0.2">
      <c r="A197" s="35"/>
      <c r="B197" s="35"/>
      <c r="C197" s="4"/>
      <c r="D197" s="4"/>
      <c r="F197" s="39" t="s">
        <v>223</v>
      </c>
      <c r="H197" s="56">
        <v>0.34322319888049341</v>
      </c>
      <c r="I197" s="56">
        <v>0.3389166855618293</v>
      </c>
      <c r="J197" s="56">
        <v>0.3389166855618293</v>
      </c>
      <c r="K197" s="109">
        <v>0.3395726539407215</v>
      </c>
      <c r="L197" s="109">
        <v>0.34523537559025858</v>
      </c>
      <c r="M197" s="56">
        <v>0.26103017866410089</v>
      </c>
      <c r="N197" s="56">
        <v>0.23342170436072826</v>
      </c>
      <c r="O197" s="56">
        <v>0.22673600935537352</v>
      </c>
      <c r="P197" s="56">
        <v>0.36595999372040083</v>
      </c>
      <c r="Q197" s="56">
        <v>0.50903033631000782</v>
      </c>
      <c r="R197" s="56">
        <v>0.34064064268424749</v>
      </c>
      <c r="S197" s="56">
        <v>0.405955333631983</v>
      </c>
      <c r="T197" s="56">
        <v>0.42372932821185449</v>
      </c>
      <c r="U197" s="56">
        <v>0.32535343928047089</v>
      </c>
      <c r="V197" s="56">
        <v>0.32853834226258621</v>
      </c>
      <c r="W197" s="56">
        <v>0.35954340884392516</v>
      </c>
      <c r="X197" s="56">
        <v>0.36808444984787475</v>
      </c>
      <c r="Y197" s="56">
        <v>0.34870352641913727</v>
      </c>
      <c r="AA197" s="56">
        <v>0.3395726539407215</v>
      </c>
      <c r="AB197" s="57"/>
      <c r="AD197" s="56">
        <v>0.34523537559025858</v>
      </c>
      <c r="AE197" s="57"/>
    </row>
    <row r="198" spans="1:31" ht="6.95" customHeight="1" x14ac:dyDescent="0.2">
      <c r="C198" s="4"/>
      <c r="D198" s="4"/>
      <c r="F198" s="96"/>
      <c r="H198" s="16"/>
      <c r="I198" s="16"/>
      <c r="J198" s="16"/>
      <c r="K198" s="85"/>
      <c r="L198" s="85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AA198" s="16"/>
      <c r="AB198" s="20"/>
      <c r="AD198" s="16"/>
      <c r="AE198" s="20"/>
    </row>
    <row r="199" spans="1:31" ht="18" hidden="1" customHeight="1" outlineLevel="1" x14ac:dyDescent="0.2">
      <c r="A199" s="30" t="s">
        <v>36</v>
      </c>
      <c r="B199" s="30" t="s">
        <v>243</v>
      </c>
      <c r="C199" s="4"/>
      <c r="D199" s="4"/>
      <c r="F199" s="51" t="s">
        <v>246</v>
      </c>
      <c r="G199" s="34"/>
      <c r="H199" s="72">
        <v>2.98</v>
      </c>
      <c r="I199" s="72">
        <v>2.8889999999999998</v>
      </c>
      <c r="J199" s="72">
        <v>2.8889999999999998</v>
      </c>
      <c r="K199" s="111">
        <v>6.25</v>
      </c>
      <c r="L199" s="111">
        <v>5.5620000000000003</v>
      </c>
      <c r="M199" s="72">
        <v>2.3159999999999998</v>
      </c>
      <c r="N199" s="72">
        <v>1.992</v>
      </c>
      <c r="O199" s="72">
        <v>1.9920000000000009</v>
      </c>
      <c r="P199" s="72">
        <v>1.9919999999999991</v>
      </c>
      <c r="Q199" s="72">
        <v>1.9919999999999991</v>
      </c>
      <c r="R199" s="72">
        <v>1.9920000000000009</v>
      </c>
      <c r="S199" s="72">
        <v>1.9920000000000009</v>
      </c>
      <c r="T199" s="72">
        <v>1.9919999999999973</v>
      </c>
      <c r="U199" s="72">
        <v>1.9920000000000009</v>
      </c>
      <c r="V199" s="72">
        <v>1.9920000000000009</v>
      </c>
      <c r="W199" s="72">
        <v>1.9920000000000009</v>
      </c>
      <c r="X199" s="72">
        <v>1.9920000000000009</v>
      </c>
      <c r="Y199" s="72">
        <v>2.0190000000000001</v>
      </c>
      <c r="Z199" s="34"/>
      <c r="AA199" s="72">
        <v>6.25</v>
      </c>
      <c r="AB199" s="73">
        <v>-4.2300000000000004</v>
      </c>
      <c r="AC199" s="34"/>
      <c r="AD199" s="72">
        <v>5.5620000000000003</v>
      </c>
      <c r="AE199" s="73">
        <v>-3.54</v>
      </c>
    </row>
    <row r="200" spans="1:31" ht="18" hidden="1" customHeight="1" outlineLevel="1" x14ac:dyDescent="0.2">
      <c r="A200" s="30" t="s">
        <v>36</v>
      </c>
      <c r="B200" s="30" t="s">
        <v>244</v>
      </c>
      <c r="C200" s="4"/>
      <c r="D200" s="4"/>
      <c r="F200" s="51" t="s">
        <v>247</v>
      </c>
      <c r="G200" s="34"/>
      <c r="H200" s="72">
        <v>3.63</v>
      </c>
      <c r="I200" s="72">
        <v>2.29</v>
      </c>
      <c r="J200" s="72">
        <v>2.29</v>
      </c>
      <c r="K200" s="111">
        <v>3</v>
      </c>
      <c r="L200" s="111">
        <v>3</v>
      </c>
      <c r="M200" s="72">
        <v>1.992</v>
      </c>
      <c r="N200" s="72">
        <v>1.992</v>
      </c>
      <c r="O200" s="72">
        <v>1.992</v>
      </c>
      <c r="P200" s="72">
        <v>1.992</v>
      </c>
      <c r="Q200" s="72">
        <v>1.9919999999999991</v>
      </c>
      <c r="R200" s="72">
        <v>1.9920000000000009</v>
      </c>
      <c r="S200" s="72">
        <v>1.9919999999999991</v>
      </c>
      <c r="T200" s="72">
        <v>1.9920000000000009</v>
      </c>
      <c r="U200" s="72">
        <v>1.9920000000000009</v>
      </c>
      <c r="V200" s="72">
        <v>1.9919999999999973</v>
      </c>
      <c r="W200" s="72">
        <v>1.9920000000000009</v>
      </c>
      <c r="X200" s="72">
        <v>2.9880000000000031</v>
      </c>
      <c r="Y200" s="72">
        <v>2.0750000000000002</v>
      </c>
      <c r="Z200" s="34"/>
      <c r="AA200" s="72">
        <v>3</v>
      </c>
      <c r="AB200" s="73">
        <v>-0.93</v>
      </c>
      <c r="AC200" s="34"/>
      <c r="AD200" s="72">
        <v>3</v>
      </c>
      <c r="AE200" s="73">
        <v>-0.93</v>
      </c>
    </row>
    <row r="201" spans="1:31" ht="18" hidden="1" customHeight="1" outlineLevel="1" x14ac:dyDescent="0.2">
      <c r="A201" s="30" t="s">
        <v>36</v>
      </c>
      <c r="B201" s="30" t="s">
        <v>245</v>
      </c>
      <c r="C201" s="4"/>
      <c r="D201" s="4"/>
      <c r="F201" s="51" t="s">
        <v>248</v>
      </c>
      <c r="G201" s="34"/>
      <c r="H201" s="72">
        <v>18.329999999999998</v>
      </c>
      <c r="I201" s="72">
        <v>17.097999999999999</v>
      </c>
      <c r="J201" s="72">
        <v>17.097999999999999</v>
      </c>
      <c r="K201" s="111">
        <v>17</v>
      </c>
      <c r="L201" s="111">
        <v>18.146000000000001</v>
      </c>
      <c r="M201" s="72">
        <v>16.847999999999999</v>
      </c>
      <c r="N201" s="72">
        <v>18.143999999999998</v>
      </c>
      <c r="O201" s="72">
        <v>17.027999999999999</v>
      </c>
      <c r="P201" s="72">
        <v>16.152000000000001</v>
      </c>
      <c r="Q201" s="72">
        <v>16.944000000000003</v>
      </c>
      <c r="R201" s="72">
        <v>17.603999999999999</v>
      </c>
      <c r="S201" s="72">
        <v>20.555999999999997</v>
      </c>
      <c r="T201" s="72">
        <v>20.64</v>
      </c>
      <c r="U201" s="72">
        <v>16.800000000000011</v>
      </c>
      <c r="V201" s="72">
        <v>17.352000000000004</v>
      </c>
      <c r="W201" s="72">
        <v>18.69599999999997</v>
      </c>
      <c r="X201" s="72">
        <v>18.852000000000004</v>
      </c>
      <c r="Y201" s="72">
        <v>17.968</v>
      </c>
      <c r="Z201" s="34"/>
      <c r="AA201" s="72">
        <v>17</v>
      </c>
      <c r="AB201" s="73">
        <v>0.97</v>
      </c>
      <c r="AC201" s="34"/>
      <c r="AD201" s="72">
        <v>18.146000000000001</v>
      </c>
      <c r="AE201" s="73">
        <v>-0.18</v>
      </c>
    </row>
    <row r="202" spans="1:31" ht="18" customHeight="1" collapsed="1" x14ac:dyDescent="0.2">
      <c r="A202" s="30" t="s">
        <v>36</v>
      </c>
      <c r="B202" s="30" t="s">
        <v>22</v>
      </c>
      <c r="C202" s="4"/>
      <c r="D202" s="4"/>
      <c r="F202" s="97" t="s">
        <v>250</v>
      </c>
      <c r="H202" s="74">
        <v>25.79</v>
      </c>
      <c r="I202" s="74">
        <v>23.193000000000001</v>
      </c>
      <c r="J202" s="74">
        <v>23.193000000000001</v>
      </c>
      <c r="K202" s="112">
        <v>26.25</v>
      </c>
      <c r="L202" s="112">
        <v>26.707999999999998</v>
      </c>
      <c r="M202" s="74">
        <v>21.155999999999999</v>
      </c>
      <c r="N202" s="74">
        <v>22.128000000000007</v>
      </c>
      <c r="O202" s="74">
        <v>21.011999999999986</v>
      </c>
      <c r="P202" s="74">
        <v>20.135999999999996</v>
      </c>
      <c r="Q202" s="74">
        <v>20.927999999999997</v>
      </c>
      <c r="R202" s="74">
        <v>21.588000000000022</v>
      </c>
      <c r="S202" s="74">
        <v>24.539999999999992</v>
      </c>
      <c r="T202" s="74">
        <v>24.623999999999995</v>
      </c>
      <c r="U202" s="74">
        <v>20.78400000000002</v>
      </c>
      <c r="V202" s="74">
        <v>21.335999999999984</v>
      </c>
      <c r="W202" s="74">
        <v>22.680000000000007</v>
      </c>
      <c r="X202" s="74">
        <v>23.832000000000022</v>
      </c>
      <c r="Y202" s="74">
        <v>22.062000000000001</v>
      </c>
      <c r="AA202" s="74">
        <v>26.25</v>
      </c>
      <c r="AB202" s="73">
        <v>-4.1900000000000004</v>
      </c>
      <c r="AD202" s="74">
        <v>26.707999999999998</v>
      </c>
      <c r="AE202" s="73">
        <v>-4.6500000000000004</v>
      </c>
    </row>
    <row r="203" spans="1:31" ht="18" hidden="1" customHeight="1" outlineLevel="1" collapsed="1" x14ac:dyDescent="0.2">
      <c r="A203" s="33" t="s">
        <v>211</v>
      </c>
      <c r="B203" s="33" t="s">
        <v>22</v>
      </c>
      <c r="C203" s="4"/>
      <c r="D203" s="4"/>
      <c r="F203" s="98" t="s">
        <v>212</v>
      </c>
      <c r="G203" s="34"/>
      <c r="H203" s="75">
        <v>29.018000000000001</v>
      </c>
      <c r="I203" s="75">
        <v>26.297000000000001</v>
      </c>
      <c r="J203" s="75">
        <v>26.297000000000001</v>
      </c>
      <c r="K203" s="112">
        <v>26.25</v>
      </c>
      <c r="L203" s="112">
        <v>26.707999999999998</v>
      </c>
      <c r="M203" s="75">
        <v>22.740000000000002</v>
      </c>
      <c r="N203" s="75">
        <v>24</v>
      </c>
      <c r="O203" s="75">
        <v>23.256000000000007</v>
      </c>
      <c r="P203" s="75">
        <v>22.61999999999999</v>
      </c>
      <c r="Q203" s="75">
        <v>23.399999999999991</v>
      </c>
      <c r="R203" s="75">
        <v>24.060000000000002</v>
      </c>
      <c r="S203" s="75">
        <v>26.183999999999997</v>
      </c>
      <c r="T203" s="75">
        <v>26.724000000000018</v>
      </c>
      <c r="U203" s="75">
        <v>22.680000000000007</v>
      </c>
      <c r="V203" s="75">
        <v>25.019999999999953</v>
      </c>
      <c r="W203" s="75">
        <v>26.472000000000037</v>
      </c>
      <c r="X203" s="75">
        <v>27.624000000000024</v>
      </c>
      <c r="Y203" s="75">
        <v>24.565000000000001</v>
      </c>
      <c r="Z203" s="34"/>
      <c r="AA203" s="75">
        <v>26.25</v>
      </c>
      <c r="AB203" s="76">
        <v>-1.69</v>
      </c>
      <c r="AC203" s="34"/>
      <c r="AD203" s="75">
        <v>26.707999999999998</v>
      </c>
      <c r="AE203" s="76">
        <v>-2.14</v>
      </c>
    </row>
    <row r="204" spans="1:31" ht="18" hidden="1" customHeight="1" outlineLevel="1" collapsed="1" x14ac:dyDescent="0.2">
      <c r="A204" s="35"/>
      <c r="B204" s="35"/>
      <c r="C204" s="4"/>
      <c r="D204" s="4"/>
      <c r="F204" s="97" t="s">
        <v>251</v>
      </c>
      <c r="H204" s="74">
        <v>3.2280000000000015</v>
      </c>
      <c r="I204" s="74">
        <v>3.1039999999999992</v>
      </c>
      <c r="J204" s="74">
        <v>3.1039999999999992</v>
      </c>
      <c r="K204" s="112">
        <v>0</v>
      </c>
      <c r="L204" s="112">
        <v>0</v>
      </c>
      <c r="M204" s="74">
        <v>1.5840000000000032</v>
      </c>
      <c r="N204" s="74">
        <v>1.8719999999999928</v>
      </c>
      <c r="O204" s="74">
        <v>2.2440000000000211</v>
      </c>
      <c r="P204" s="74">
        <v>2.4839999999999947</v>
      </c>
      <c r="Q204" s="74">
        <v>2.4719999999999942</v>
      </c>
      <c r="R204" s="74">
        <v>2.47199999999998</v>
      </c>
      <c r="S204" s="74">
        <v>1.6440000000000055</v>
      </c>
      <c r="T204" s="74">
        <v>2.1000000000000227</v>
      </c>
      <c r="U204" s="74">
        <v>1.8959999999999866</v>
      </c>
      <c r="V204" s="74">
        <v>3.6839999999999691</v>
      </c>
      <c r="W204" s="74">
        <v>3.79200000000003</v>
      </c>
      <c r="X204" s="74">
        <v>3.7920000000000016</v>
      </c>
      <c r="Y204" s="74">
        <v>2.5030000000000001</v>
      </c>
      <c r="AA204" s="74">
        <v>0</v>
      </c>
      <c r="AB204" s="73">
        <v>2.5</v>
      </c>
      <c r="AD204" s="74">
        <v>0</v>
      </c>
      <c r="AE204" s="73">
        <v>2.5</v>
      </c>
    </row>
    <row r="205" spans="1:31" ht="12.95" hidden="1" customHeight="1" outlineLevel="1" x14ac:dyDescent="0.2">
      <c r="A205" s="35"/>
      <c r="B205" s="35"/>
      <c r="C205" s="4"/>
      <c r="D205" s="4"/>
      <c r="F205" s="39" t="s">
        <v>37</v>
      </c>
      <c r="H205" s="68">
        <v>0.11124129850437664</v>
      </c>
      <c r="I205" s="68">
        <v>0.1180362779024223</v>
      </c>
      <c r="J205" s="68">
        <v>0.1180362779024223</v>
      </c>
      <c r="K205" s="113">
        <v>0</v>
      </c>
      <c r="L205" s="113">
        <v>0</v>
      </c>
      <c r="M205" s="68">
        <v>6.9656992084432851E-2</v>
      </c>
      <c r="N205" s="68">
        <v>7.7999999999999695E-2</v>
      </c>
      <c r="O205" s="68">
        <v>9.6491228070176321E-2</v>
      </c>
      <c r="P205" s="68">
        <v>0.10981432360742686</v>
      </c>
      <c r="Q205" s="68">
        <v>0.10564102564102543</v>
      </c>
      <c r="R205" s="68">
        <v>0.10274314214463756</v>
      </c>
      <c r="S205" s="68">
        <v>6.2786434463794893E-2</v>
      </c>
      <c r="T205" s="68">
        <v>7.8581050740907848E-2</v>
      </c>
      <c r="U205" s="68">
        <v>8.3597883597882977E-2</v>
      </c>
      <c r="V205" s="68">
        <v>0.14724220623501103</v>
      </c>
      <c r="W205" s="68">
        <v>0.1432456935630109</v>
      </c>
      <c r="X205" s="68">
        <v>0.13727193744569932</v>
      </c>
      <c r="Y205" s="68">
        <v>0.1018929371056381</v>
      </c>
      <c r="AA205" s="68">
        <v>0</v>
      </c>
      <c r="AB205" s="69"/>
      <c r="AD205" s="68">
        <v>0</v>
      </c>
      <c r="AE205" s="69"/>
    </row>
    <row r="206" spans="1:31" ht="18" customHeight="1" collapsed="1" x14ac:dyDescent="0.2">
      <c r="A206" s="30" t="s">
        <v>220</v>
      </c>
      <c r="B206" s="30" t="s">
        <v>22</v>
      </c>
      <c r="C206" s="4">
        <v>-2.045669064332031E-2</v>
      </c>
      <c r="D206" s="4">
        <v>-3.2151188807340692E-2</v>
      </c>
      <c r="F206" s="106" t="s">
        <v>66</v>
      </c>
      <c r="H206" s="61">
        <v>-1602.0930000000001</v>
      </c>
      <c r="I206" s="61">
        <v>-1613.0519999999999</v>
      </c>
      <c r="J206" s="61">
        <v>-1613.0519999999999</v>
      </c>
      <c r="K206" s="86">
        <v>-1638.0948699999999</v>
      </c>
      <c r="L206" s="86">
        <v>-1619.53576</v>
      </c>
      <c r="M206" s="61">
        <v>-129.67400000000001</v>
      </c>
      <c r="N206" s="61">
        <v>-123.88899999999998</v>
      </c>
      <c r="O206" s="61">
        <v>-127.96199999999999</v>
      </c>
      <c r="P206" s="61">
        <v>-123.27100000000002</v>
      </c>
      <c r="Q206" s="61">
        <v>-132.99299999999999</v>
      </c>
      <c r="R206" s="61">
        <v>-141.00300000000004</v>
      </c>
      <c r="S206" s="61">
        <v>-124.87599999999998</v>
      </c>
      <c r="T206" s="61">
        <v>-143.35700000000008</v>
      </c>
      <c r="U206" s="61">
        <v>-145.75</v>
      </c>
      <c r="V206" s="61">
        <v>-124.74000000000001</v>
      </c>
      <c r="W206" s="61">
        <v>-208.23199999999997</v>
      </c>
      <c r="X206" s="61">
        <v>-145.86099999999988</v>
      </c>
      <c r="Y206" s="61">
        <v>-1671.6079999999999</v>
      </c>
      <c r="AA206" s="61">
        <v>-1638.0948699999999</v>
      </c>
      <c r="AB206" s="60">
        <v>-33.51</v>
      </c>
      <c r="AD206" s="61">
        <v>-1619.53576</v>
      </c>
      <c r="AE206" s="60">
        <v>-52.07</v>
      </c>
    </row>
    <row r="207" spans="1:31" ht="18" customHeight="1" x14ac:dyDescent="0.2">
      <c r="A207" s="30" t="s">
        <v>218</v>
      </c>
      <c r="B207" s="30" t="s">
        <v>22</v>
      </c>
      <c r="C207" s="4">
        <v>-0.9990205680705192</v>
      </c>
      <c r="D207" s="4">
        <v>-0.9990205680705192</v>
      </c>
      <c r="F207" s="104" t="s">
        <v>219</v>
      </c>
      <c r="G207" s="36"/>
      <c r="H207" s="65">
        <v>20.288</v>
      </c>
      <c r="I207" s="65">
        <v>2.887</v>
      </c>
      <c r="J207" s="65">
        <v>2.887</v>
      </c>
      <c r="K207" s="65">
        <v>0</v>
      </c>
      <c r="L207" s="65">
        <v>0</v>
      </c>
      <c r="M207" s="65">
        <v>-12.295999999999999</v>
      </c>
      <c r="N207" s="65">
        <v>-10.5</v>
      </c>
      <c r="O207" s="65">
        <v>-3.2540000000000013</v>
      </c>
      <c r="P207" s="65">
        <v>-2.4819999999999993</v>
      </c>
      <c r="Q207" s="65">
        <v>11.991</v>
      </c>
      <c r="R207" s="65">
        <v>-1.3239999999999981</v>
      </c>
      <c r="S207" s="65">
        <v>11.168999999999999</v>
      </c>
      <c r="T207" s="65">
        <v>36.982999999999997</v>
      </c>
      <c r="U207" s="65">
        <v>-10.875999999999998</v>
      </c>
      <c r="V207" s="65">
        <v>-4.8920000000000012</v>
      </c>
      <c r="W207" s="65">
        <v>-11.163</v>
      </c>
      <c r="X207" s="65">
        <v>-7.4399999999999995</v>
      </c>
      <c r="Y207" s="65">
        <v>-4.0839999999999996</v>
      </c>
      <c r="Z207" s="36"/>
      <c r="AA207" s="65">
        <v>0</v>
      </c>
      <c r="AB207" s="60">
        <v>-4.08</v>
      </c>
      <c r="AC207" s="36"/>
      <c r="AD207" s="65">
        <v>0</v>
      </c>
      <c r="AE207" s="60">
        <v>-4.08</v>
      </c>
    </row>
    <row r="208" spans="1:31" ht="18" customHeight="1" x14ac:dyDescent="0.2">
      <c r="A208" s="30" t="s">
        <v>34</v>
      </c>
      <c r="B208" s="30" t="s">
        <v>22</v>
      </c>
      <c r="C208" s="4">
        <v>0</v>
      </c>
      <c r="D208" s="4">
        <v>0</v>
      </c>
      <c r="F208" s="106" t="s">
        <v>57</v>
      </c>
      <c r="H208" s="61">
        <v>0</v>
      </c>
      <c r="I208" s="61">
        <v>0</v>
      </c>
      <c r="J208" s="61">
        <v>0</v>
      </c>
      <c r="K208" s="86">
        <v>0</v>
      </c>
      <c r="L208" s="86">
        <v>0</v>
      </c>
      <c r="M208" s="61">
        <v>0</v>
      </c>
      <c r="N208" s="61">
        <v>0</v>
      </c>
      <c r="O208" s="61">
        <v>0</v>
      </c>
      <c r="P208" s="61">
        <v>0</v>
      </c>
      <c r="Q208" s="61">
        <v>0</v>
      </c>
      <c r="R208" s="61">
        <v>0</v>
      </c>
      <c r="S208" s="61">
        <v>0</v>
      </c>
      <c r="T208" s="61">
        <v>0</v>
      </c>
      <c r="U208" s="61">
        <v>0</v>
      </c>
      <c r="V208" s="61">
        <v>0</v>
      </c>
      <c r="W208" s="61">
        <v>0</v>
      </c>
      <c r="X208" s="61">
        <v>0</v>
      </c>
      <c r="Y208" s="61">
        <v>0</v>
      </c>
      <c r="AA208" s="61">
        <v>0</v>
      </c>
      <c r="AB208" s="60">
        <v>0</v>
      </c>
      <c r="AD208" s="61">
        <v>0</v>
      </c>
      <c r="AE208" s="60">
        <v>0</v>
      </c>
    </row>
    <row r="209" spans="1:31" ht="18" customHeight="1" x14ac:dyDescent="0.2">
      <c r="A209" s="30" t="s">
        <v>221</v>
      </c>
      <c r="B209" s="30" t="s">
        <v>22</v>
      </c>
      <c r="C209" s="4">
        <v>1</v>
      </c>
      <c r="D209" s="4">
        <v>0.18493150684931509</v>
      </c>
      <c r="F209" s="106" t="s">
        <v>379</v>
      </c>
      <c r="H209" s="61">
        <v>10.6</v>
      </c>
      <c r="I209" s="61">
        <v>4.718</v>
      </c>
      <c r="J209" s="61">
        <v>4.718</v>
      </c>
      <c r="K209" s="86">
        <v>0</v>
      </c>
      <c r="L209" s="86">
        <v>2.92</v>
      </c>
      <c r="M209" s="61">
        <v>0</v>
      </c>
      <c r="N209" s="61">
        <v>0</v>
      </c>
      <c r="O209" s="61">
        <v>0.54500000000000004</v>
      </c>
      <c r="P209" s="61">
        <v>0</v>
      </c>
      <c r="Q209" s="61">
        <v>0</v>
      </c>
      <c r="R209" s="61">
        <v>0</v>
      </c>
      <c r="S209" s="61">
        <v>1.069</v>
      </c>
      <c r="T209" s="61">
        <v>1.8460000000000001</v>
      </c>
      <c r="U209" s="61">
        <v>0</v>
      </c>
      <c r="V209" s="61">
        <v>0</v>
      </c>
      <c r="W209" s="61">
        <v>0</v>
      </c>
      <c r="X209" s="61">
        <v>0</v>
      </c>
      <c r="Y209" s="61">
        <v>3.46</v>
      </c>
      <c r="AA209" s="61">
        <v>0</v>
      </c>
      <c r="AB209" s="60">
        <v>3.46</v>
      </c>
      <c r="AD209" s="61">
        <v>2.92</v>
      </c>
      <c r="AE209" s="60">
        <v>0.54</v>
      </c>
    </row>
    <row r="210" spans="1:31" ht="18" customHeight="1" x14ac:dyDescent="0.2">
      <c r="A210" s="30" t="s">
        <v>430</v>
      </c>
      <c r="B210" s="30" t="s">
        <v>22</v>
      </c>
      <c r="C210" s="4">
        <v>0</v>
      </c>
      <c r="D210" s="4">
        <v>0</v>
      </c>
      <c r="F210" s="106" t="s">
        <v>431</v>
      </c>
      <c r="H210" s="61">
        <v>-0.95</v>
      </c>
      <c r="I210" s="61">
        <v>0</v>
      </c>
      <c r="J210" s="61">
        <v>0</v>
      </c>
      <c r="K210" s="86">
        <v>0</v>
      </c>
      <c r="L210" s="86">
        <v>0</v>
      </c>
      <c r="M210" s="61">
        <v>0</v>
      </c>
      <c r="N210" s="61">
        <v>0</v>
      </c>
      <c r="O210" s="61">
        <v>0</v>
      </c>
      <c r="P210" s="61">
        <v>0</v>
      </c>
      <c r="Q210" s="61">
        <v>0</v>
      </c>
      <c r="R210" s="61">
        <v>0</v>
      </c>
      <c r="S210" s="61">
        <v>0</v>
      </c>
      <c r="T210" s="61">
        <v>0</v>
      </c>
      <c r="U210" s="61">
        <v>0</v>
      </c>
      <c r="V210" s="61">
        <v>0</v>
      </c>
      <c r="W210" s="61">
        <v>0</v>
      </c>
      <c r="X210" s="61">
        <v>0</v>
      </c>
      <c r="Y210" s="61">
        <v>0</v>
      </c>
      <c r="AA210" s="61">
        <v>0</v>
      </c>
      <c r="AB210" s="60">
        <v>0</v>
      </c>
      <c r="AD210" s="61">
        <v>0</v>
      </c>
      <c r="AE210" s="60">
        <v>0</v>
      </c>
    </row>
    <row r="211" spans="1:31" ht="18" customHeight="1" x14ac:dyDescent="0.2">
      <c r="A211" s="30" t="s">
        <v>35</v>
      </c>
      <c r="B211" s="30" t="s">
        <v>22</v>
      </c>
      <c r="C211" s="4">
        <v>-1.0003664345914254</v>
      </c>
      <c r="D211" s="4">
        <v>9.0744101633393817E-3</v>
      </c>
      <c r="F211" s="106" t="s">
        <v>67</v>
      </c>
      <c r="H211" s="61">
        <v>-1.016</v>
      </c>
      <c r="I211" s="61">
        <v>-5.4180000000000001</v>
      </c>
      <c r="J211" s="61">
        <v>-5.4180000000000001</v>
      </c>
      <c r="K211" s="86">
        <v>0</v>
      </c>
      <c r="L211" s="86">
        <v>-5.51</v>
      </c>
      <c r="M211" s="61">
        <v>-0.628</v>
      </c>
      <c r="N211" s="61">
        <v>-0.80300000000000005</v>
      </c>
      <c r="O211" s="61">
        <v>-0.62599999999999989</v>
      </c>
      <c r="P211" s="61">
        <v>-0.57299999999999995</v>
      </c>
      <c r="Q211" s="61">
        <v>5.2000000000000046E-2</v>
      </c>
      <c r="R211" s="61">
        <v>-0.82699999999999996</v>
      </c>
      <c r="S211" s="61">
        <v>-0.44200000000000017</v>
      </c>
      <c r="T211" s="61">
        <v>-0.44400000000000039</v>
      </c>
      <c r="U211" s="61">
        <v>-6.5999999999999837E-2</v>
      </c>
      <c r="V211" s="61">
        <v>-0.33999999999999986</v>
      </c>
      <c r="W211" s="61">
        <v>-0.26499999999999968</v>
      </c>
      <c r="X211" s="61">
        <v>-0.49600000000000044</v>
      </c>
      <c r="Y211" s="61">
        <v>-5.4580000000000002</v>
      </c>
      <c r="AA211" s="61">
        <v>0</v>
      </c>
      <c r="AB211" s="60">
        <v>-5.46</v>
      </c>
      <c r="AD211" s="61">
        <v>-5.5100000000000007</v>
      </c>
      <c r="AE211" s="60">
        <v>0.05</v>
      </c>
    </row>
    <row r="212" spans="1:31" ht="18" hidden="1" customHeight="1" outlineLevel="1" collapsed="1" x14ac:dyDescent="0.2">
      <c r="A212" s="35"/>
      <c r="B212" s="35"/>
      <c r="C212" s="4"/>
      <c r="D212" s="4"/>
      <c r="F212" s="97" t="s">
        <v>454</v>
      </c>
      <c r="H212" s="74">
        <v>0.40068181818181814</v>
      </c>
      <c r="I212" s="74">
        <v>2.2204545454545453E-2</v>
      </c>
      <c r="J212" s="74">
        <v>2.2204545454545453E-2</v>
      </c>
      <c r="K212" s="112">
        <v>0</v>
      </c>
      <c r="L212" s="112">
        <v>0.10200000000000001</v>
      </c>
      <c r="M212" s="74">
        <v>0</v>
      </c>
      <c r="N212" s="74">
        <v>0</v>
      </c>
      <c r="O212" s="74">
        <v>0</v>
      </c>
      <c r="P212" s="74">
        <v>0</v>
      </c>
      <c r="Q212" s="74">
        <v>0</v>
      </c>
      <c r="R212" s="74">
        <v>0</v>
      </c>
      <c r="S212" s="74">
        <v>0</v>
      </c>
      <c r="T212" s="74">
        <v>0</v>
      </c>
      <c r="U212" s="74">
        <v>0</v>
      </c>
      <c r="V212" s="74">
        <v>0</v>
      </c>
      <c r="W212" s="74">
        <v>1.2240000000000002</v>
      </c>
      <c r="X212" s="74">
        <v>0</v>
      </c>
      <c r="Y212" s="74">
        <v>0.10200000000000002</v>
      </c>
      <c r="AA212" s="74">
        <v>0</v>
      </c>
      <c r="AB212" s="73">
        <v>0.1</v>
      </c>
      <c r="AD212" s="74">
        <v>0.10200000000000001</v>
      </c>
      <c r="AE212" s="73">
        <v>0</v>
      </c>
    </row>
    <row r="213" spans="1:31" ht="18" customHeight="1" collapsed="1" x14ac:dyDescent="0.2">
      <c r="A213" s="30" t="s">
        <v>20</v>
      </c>
      <c r="B213" s="30" t="s">
        <v>22</v>
      </c>
      <c r="C213" s="4">
        <v>-1.000445632798574</v>
      </c>
      <c r="D213" s="4">
        <v>0</v>
      </c>
      <c r="F213" s="106" t="s">
        <v>68</v>
      </c>
      <c r="H213" s="61">
        <v>-17.63</v>
      </c>
      <c r="I213" s="61">
        <v>-0.97699999999999998</v>
      </c>
      <c r="J213" s="61">
        <v>-0.97699999999999998</v>
      </c>
      <c r="K213" s="86">
        <v>0</v>
      </c>
      <c r="L213" s="86">
        <v>-4.4880000000000004</v>
      </c>
      <c r="M213" s="61">
        <v>0</v>
      </c>
      <c r="N213" s="61">
        <v>0</v>
      </c>
      <c r="O213" s="61">
        <v>0</v>
      </c>
      <c r="P213" s="61">
        <v>0</v>
      </c>
      <c r="Q213" s="61">
        <v>0</v>
      </c>
      <c r="R213" s="61">
        <v>0</v>
      </c>
      <c r="S213" s="61">
        <v>0</v>
      </c>
      <c r="T213" s="61">
        <v>0</v>
      </c>
      <c r="U213" s="61">
        <v>0</v>
      </c>
      <c r="V213" s="61">
        <v>0</v>
      </c>
      <c r="W213" s="61">
        <v>-4.4880000000000004</v>
      </c>
      <c r="X213" s="61">
        <v>0</v>
      </c>
      <c r="Y213" s="61">
        <v>-4.4880000000000004</v>
      </c>
      <c r="AA213" s="61">
        <v>0</v>
      </c>
      <c r="AB213" s="60">
        <v>-4.49</v>
      </c>
      <c r="AD213" s="61">
        <v>-4.4880000000000004</v>
      </c>
      <c r="AE213" s="60">
        <v>0</v>
      </c>
    </row>
    <row r="214" spans="1:31" ht="18" customHeight="1" x14ac:dyDescent="0.2">
      <c r="A214" s="35"/>
      <c r="B214" s="35"/>
      <c r="C214" s="4">
        <v>-2.6909308372353308E-2</v>
      </c>
      <c r="D214" s="4">
        <v>-3.4156848642421418E-2</v>
      </c>
      <c r="F214" s="95" t="s">
        <v>275</v>
      </c>
      <c r="H214" s="198">
        <v>-1590.8010000000004</v>
      </c>
      <c r="I214" s="198">
        <v>-1611.8419999999999</v>
      </c>
      <c r="J214" s="198">
        <v>-1611.8419999999999</v>
      </c>
      <c r="K214" s="89">
        <v>-1638.0948699999999</v>
      </c>
      <c r="L214" s="89">
        <v>-1626.61376</v>
      </c>
      <c r="M214" s="64">
        <v>-142.59799999999998</v>
      </c>
      <c r="N214" s="64">
        <v>-135.19199999999998</v>
      </c>
      <c r="O214" s="64">
        <v>-131.297</v>
      </c>
      <c r="P214" s="64">
        <v>-126.32600000000001</v>
      </c>
      <c r="Q214" s="64">
        <v>-120.94999999999999</v>
      </c>
      <c r="R214" s="64">
        <v>-143.15400000000005</v>
      </c>
      <c r="S214" s="64">
        <v>-113.07999999999998</v>
      </c>
      <c r="T214" s="64">
        <v>-104.97200000000008</v>
      </c>
      <c r="U214" s="64">
        <v>-156.69200000000001</v>
      </c>
      <c r="V214" s="64">
        <v>-129.97200000000001</v>
      </c>
      <c r="W214" s="64">
        <v>-224.14799999999997</v>
      </c>
      <c r="X214" s="64">
        <v>-153.79699999999988</v>
      </c>
      <c r="Y214" s="64">
        <v>-1682.1780000000001</v>
      </c>
      <c r="AA214" s="64">
        <v>-1638.0948699999999</v>
      </c>
      <c r="AB214" s="60">
        <v>-44.08</v>
      </c>
      <c r="AD214" s="64">
        <v>-1626.61376</v>
      </c>
      <c r="AE214" s="60">
        <v>-55.56</v>
      </c>
    </row>
    <row r="215" spans="1:31" ht="12.95" customHeight="1" x14ac:dyDescent="0.2">
      <c r="A215" s="35"/>
      <c r="B215" s="35"/>
      <c r="C215" s="4"/>
      <c r="D215" s="4"/>
      <c r="F215" s="39" t="s">
        <v>223</v>
      </c>
      <c r="H215" s="56">
        <v>9.3543173016774853E-2</v>
      </c>
      <c r="I215" s="56">
        <v>9.1711970012025551E-2</v>
      </c>
      <c r="J215" s="56">
        <v>9.1711970012025551E-2</v>
      </c>
      <c r="K215" s="109">
        <v>9.4382409497524009E-2</v>
      </c>
      <c r="L215" s="109">
        <v>9.0344307987394554E-2</v>
      </c>
      <c r="M215" s="56">
        <v>0.10292547758885386</v>
      </c>
      <c r="N215" s="56">
        <v>9.8329678482200311E-2</v>
      </c>
      <c r="O215" s="56">
        <v>9.2051297511263064E-2</v>
      </c>
      <c r="P215" s="56">
        <v>8.263298359454721E-2</v>
      </c>
      <c r="Q215" s="56">
        <v>7.4207234208338566E-2</v>
      </c>
      <c r="R215" s="56">
        <v>9.1330627410799711E-2</v>
      </c>
      <c r="S215" s="56">
        <v>7.7221026408662297E-2</v>
      </c>
      <c r="T215" s="56">
        <v>6.9291787657095052E-2</v>
      </c>
      <c r="U215" s="56">
        <v>0.10335188529531651</v>
      </c>
      <c r="V215" s="56">
        <v>8.2493987748907857E-2</v>
      </c>
      <c r="W215" s="56">
        <v>0.14170358115297102</v>
      </c>
      <c r="X215" s="56">
        <v>9.4914741694798008E-2</v>
      </c>
      <c r="Y215" s="56">
        <v>9.2499176558503954E-2</v>
      </c>
      <c r="AA215" s="56">
        <v>9.4382409497524009E-2</v>
      </c>
      <c r="AB215" s="57"/>
      <c r="AD215" s="56">
        <v>9.0344307987394554E-2</v>
      </c>
      <c r="AE215" s="57"/>
    </row>
    <row r="216" spans="1:31" ht="6.95" customHeight="1" x14ac:dyDescent="0.2">
      <c r="C216" s="4"/>
      <c r="D216" s="4"/>
      <c r="F216" s="96"/>
      <c r="H216" s="16"/>
      <c r="I216" s="16"/>
      <c r="J216" s="16"/>
      <c r="K216" s="85"/>
      <c r="L216" s="85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AA216" s="16"/>
      <c r="AB216" s="20"/>
      <c r="AD216" s="16"/>
      <c r="AE216" s="20"/>
    </row>
    <row r="217" spans="1:31" ht="18" customHeight="1" x14ac:dyDescent="0.2">
      <c r="A217" s="30" t="s">
        <v>70</v>
      </c>
      <c r="B217" s="30" t="s">
        <v>22</v>
      </c>
      <c r="C217" s="4"/>
      <c r="D217" s="4"/>
      <c r="F217" s="97" t="s">
        <v>226</v>
      </c>
      <c r="H217" s="74">
        <v>7.3680000000000003</v>
      </c>
      <c r="I217" s="74">
        <v>6.9989999999999997</v>
      </c>
      <c r="J217" s="74">
        <v>6.9989999999999997</v>
      </c>
      <c r="K217" s="112">
        <v>7</v>
      </c>
      <c r="L217" s="112">
        <v>5.7</v>
      </c>
      <c r="M217" s="74">
        <v>5.6879999999999997</v>
      </c>
      <c r="N217" s="74">
        <v>5.976</v>
      </c>
      <c r="O217" s="74">
        <v>6.0120000000000022</v>
      </c>
      <c r="P217" s="74">
        <v>6.0119999999999969</v>
      </c>
      <c r="Q217" s="74">
        <v>5.9760000000000026</v>
      </c>
      <c r="R217" s="74">
        <v>6.0120000000000005</v>
      </c>
      <c r="S217" s="74">
        <v>5.0039999999999978</v>
      </c>
      <c r="T217" s="74">
        <v>4.9919999999999973</v>
      </c>
      <c r="U217" s="74">
        <v>5.0040000000000049</v>
      </c>
      <c r="V217" s="74">
        <v>5.0039999999999907</v>
      </c>
      <c r="W217" s="74">
        <v>4.9920000000000044</v>
      </c>
      <c r="X217" s="74">
        <v>5.0040000000000049</v>
      </c>
      <c r="Y217" s="74">
        <v>5.4729999999999999</v>
      </c>
      <c r="AA217" s="74">
        <v>7</v>
      </c>
      <c r="AB217" s="73">
        <v>-1.53</v>
      </c>
      <c r="AD217" s="74">
        <v>5.7</v>
      </c>
      <c r="AE217" s="73">
        <v>-0.23</v>
      </c>
    </row>
    <row r="218" spans="1:31" ht="12.95" customHeight="1" x14ac:dyDescent="0.2">
      <c r="A218" s="35"/>
      <c r="B218" s="35"/>
      <c r="C218" s="4"/>
      <c r="D218" s="4"/>
      <c r="F218" s="39" t="s">
        <v>71</v>
      </c>
      <c r="H218" s="132">
        <v>-7179.0173724212809</v>
      </c>
      <c r="I218" s="132">
        <v>-9719.2456065152164</v>
      </c>
      <c r="J218" s="132">
        <v>-9719.2456065152164</v>
      </c>
      <c r="K218" s="133">
        <v>-8739.7142857142862</v>
      </c>
      <c r="L218" s="133">
        <v>-6985.6140350877195</v>
      </c>
      <c r="M218" s="132">
        <v>-560.12658227848101</v>
      </c>
      <c r="N218" s="132">
        <v>-538.65461847389577</v>
      </c>
      <c r="O218" s="132">
        <v>-496.50698602794387</v>
      </c>
      <c r="P218" s="132">
        <v>-633.73253493013999</v>
      </c>
      <c r="Q218" s="132">
        <v>-822.62382864792437</v>
      </c>
      <c r="R218" s="132">
        <v>-489.02195608782455</v>
      </c>
      <c r="S218" s="132">
        <v>-963.02957633892913</v>
      </c>
      <c r="T218" s="132">
        <v>-417.46794871794924</v>
      </c>
      <c r="U218" s="132">
        <v>-240.80735411670614</v>
      </c>
      <c r="V218" s="132">
        <v>-649.68025579536516</v>
      </c>
      <c r="W218" s="132">
        <v>-960.53685897435832</v>
      </c>
      <c r="X218" s="132">
        <v>-873.3013589128692</v>
      </c>
      <c r="Y218" s="132">
        <v>-7597.2958158231322</v>
      </c>
      <c r="AA218" s="132">
        <v>-8739.7142857142862</v>
      </c>
      <c r="AB218" s="134">
        <v>1142.42</v>
      </c>
      <c r="AD218" s="132">
        <v>-6985.6140350877204</v>
      </c>
      <c r="AE218" s="134">
        <v>-611.67999999999995</v>
      </c>
    </row>
    <row r="219" spans="1:31" ht="18" customHeight="1" x14ac:dyDescent="0.2">
      <c r="A219" s="30" t="s">
        <v>63</v>
      </c>
      <c r="B219" s="30" t="s">
        <v>22</v>
      </c>
      <c r="C219" s="4">
        <v>0.21158328850636537</v>
      </c>
      <c r="D219" s="4">
        <v>2.3322967569968902E-2</v>
      </c>
      <c r="F219" s="106" t="s">
        <v>201</v>
      </c>
      <c r="H219" s="61">
        <v>-26.588999999999999</v>
      </c>
      <c r="I219" s="61">
        <v>-18.975999999999999</v>
      </c>
      <c r="J219" s="61">
        <v>-18.975999999999999</v>
      </c>
      <c r="K219" s="86">
        <v>-22.308</v>
      </c>
      <c r="L219" s="86">
        <v>-18.007999999999999</v>
      </c>
      <c r="M219" s="61">
        <v>-1.43</v>
      </c>
      <c r="N219" s="61">
        <v>-1.5280000000000002</v>
      </c>
      <c r="O219" s="61">
        <v>-1.5289999999999999</v>
      </c>
      <c r="P219" s="61">
        <v>-1.5270000000000001</v>
      </c>
      <c r="Q219" s="61">
        <v>-3.3329999999999993</v>
      </c>
      <c r="R219" s="61">
        <v>-1.282</v>
      </c>
      <c r="S219" s="61">
        <v>-3.1989999999999998</v>
      </c>
      <c r="T219" s="61">
        <v>-0.47600000000000087</v>
      </c>
      <c r="U219" s="61">
        <v>0.21000000000000085</v>
      </c>
      <c r="V219" s="61">
        <v>-1.1639999999999997</v>
      </c>
      <c r="W219" s="61">
        <v>-1.1630000000000003</v>
      </c>
      <c r="X219" s="61">
        <v>-1.1640000000000015</v>
      </c>
      <c r="Y219" s="61">
        <v>-17.585000000000001</v>
      </c>
      <c r="AA219" s="61">
        <v>-22.308000000000003</v>
      </c>
      <c r="AB219" s="60">
        <v>4.72</v>
      </c>
      <c r="AD219" s="61">
        <v>-18.007999999999999</v>
      </c>
      <c r="AE219" s="60">
        <v>0.42</v>
      </c>
    </row>
    <row r="220" spans="1:31" ht="18" customHeight="1" x14ac:dyDescent="0.2">
      <c r="A220" s="30" t="s">
        <v>64</v>
      </c>
      <c r="B220" s="30" t="s">
        <v>22</v>
      </c>
      <c r="C220" s="4">
        <v>0.28540497982482038</v>
      </c>
      <c r="D220" s="4">
        <v>-0.11177461338233043</v>
      </c>
      <c r="F220" s="106" t="s">
        <v>202</v>
      </c>
      <c r="H220" s="61">
        <v>-16.606000000000002</v>
      </c>
      <c r="I220" s="61">
        <v>-22.844000000000001</v>
      </c>
      <c r="J220" s="61">
        <v>-22.844000000000001</v>
      </c>
      <c r="K220" s="86">
        <v>-20.321999999999999</v>
      </c>
      <c r="L220" s="86">
        <v>-13.061999999999999</v>
      </c>
      <c r="M220" s="61">
        <v>-2.1059999999999999</v>
      </c>
      <c r="N220" s="61">
        <v>-1.2640000000000002</v>
      </c>
      <c r="O220" s="61">
        <v>-1.0999999999999996</v>
      </c>
      <c r="P220" s="61">
        <v>-1.5419999999999998</v>
      </c>
      <c r="Q220" s="61">
        <v>-0.99500000000000011</v>
      </c>
      <c r="R220" s="61">
        <v>-1.043000000000001</v>
      </c>
      <c r="S220" s="61">
        <v>-1.2169999999999987</v>
      </c>
      <c r="T220" s="61">
        <v>-0.37100000000000044</v>
      </c>
      <c r="U220" s="61">
        <v>-1.2859999999999996</v>
      </c>
      <c r="V220" s="61">
        <v>-1.3280000000000012</v>
      </c>
      <c r="W220" s="61">
        <v>-0.70199999999999996</v>
      </c>
      <c r="X220" s="61">
        <v>-1.5640000000000001</v>
      </c>
      <c r="Y220" s="61">
        <v>-14.518000000000001</v>
      </c>
      <c r="AA220" s="61">
        <v>-20.321999999999999</v>
      </c>
      <c r="AB220" s="60">
        <v>5.8</v>
      </c>
      <c r="AD220" s="61">
        <v>-13.061999999999999</v>
      </c>
      <c r="AE220" s="60">
        <v>-1.46</v>
      </c>
    </row>
    <row r="221" spans="1:31" ht="18" hidden="1" customHeight="1" outlineLevel="1" x14ac:dyDescent="0.2">
      <c r="A221" s="30" t="s">
        <v>150</v>
      </c>
      <c r="B221" s="30" t="s">
        <v>22</v>
      </c>
      <c r="C221" s="4">
        <v>-0.89699074074074081</v>
      </c>
      <c r="D221" s="4">
        <v>-2.9605263157894739</v>
      </c>
      <c r="F221" s="38" t="s">
        <v>151</v>
      </c>
      <c r="G221" s="34"/>
      <c r="H221" s="66">
        <v>-2.528</v>
      </c>
      <c r="I221" s="66">
        <v>-6.6849999999999996</v>
      </c>
      <c r="J221" s="66">
        <v>-6.6849999999999996</v>
      </c>
      <c r="K221" s="86">
        <v>-1.728</v>
      </c>
      <c r="L221" s="86">
        <v>1.6719999999999999</v>
      </c>
      <c r="M221" s="66">
        <v>-0.41099999999999998</v>
      </c>
      <c r="N221" s="66">
        <v>2.4999999999999967E-2</v>
      </c>
      <c r="O221" s="66">
        <v>0</v>
      </c>
      <c r="P221" s="66">
        <v>-6.7000000000000004E-2</v>
      </c>
      <c r="Q221" s="66">
        <v>-3.999999999999998E-2</v>
      </c>
      <c r="R221" s="66">
        <v>-0.30300000000000005</v>
      </c>
      <c r="S221" s="66">
        <v>0</v>
      </c>
      <c r="T221" s="66">
        <v>-0.14499999999999991</v>
      </c>
      <c r="U221" s="66">
        <v>0</v>
      </c>
      <c r="V221" s="66">
        <v>0</v>
      </c>
      <c r="W221" s="66">
        <v>-2.3370000000000002</v>
      </c>
      <c r="X221" s="66">
        <v>0</v>
      </c>
      <c r="Y221" s="66">
        <v>-3.278</v>
      </c>
      <c r="Z221" s="34"/>
      <c r="AA221" s="66">
        <v>-1.728</v>
      </c>
      <c r="AB221" s="60">
        <v>-1.55</v>
      </c>
      <c r="AC221" s="34"/>
      <c r="AD221" s="66">
        <v>1.6719999999999999</v>
      </c>
      <c r="AE221" s="60">
        <v>-4.95</v>
      </c>
    </row>
    <row r="222" spans="1:31" ht="18" hidden="1" customHeight="1" outlineLevel="1" x14ac:dyDescent="0.2">
      <c r="A222" s="30" t="s">
        <v>168</v>
      </c>
      <c r="B222" s="30" t="s">
        <v>22</v>
      </c>
      <c r="C222" s="4">
        <v>0.29318394024276379</v>
      </c>
      <c r="D222" s="4">
        <v>0.29318394024276379</v>
      </c>
      <c r="F222" s="38" t="s">
        <v>169</v>
      </c>
      <c r="G222" s="34"/>
      <c r="H222" s="66">
        <v>-5.423</v>
      </c>
      <c r="I222" s="66">
        <v>-5.9420000000000002</v>
      </c>
      <c r="J222" s="66">
        <v>-5.9420000000000002</v>
      </c>
      <c r="K222" s="86">
        <v>-5.3550000000000004</v>
      </c>
      <c r="L222" s="86">
        <v>-5.3550000000000004</v>
      </c>
      <c r="M222" s="66">
        <v>-0.28399999999999997</v>
      </c>
      <c r="N222" s="66">
        <v>-0.28899999999999998</v>
      </c>
      <c r="O222" s="66">
        <v>-0.29100000000000004</v>
      </c>
      <c r="P222" s="66">
        <v>-0.28900000000000003</v>
      </c>
      <c r="Q222" s="66">
        <v>-0.29099999999999993</v>
      </c>
      <c r="R222" s="66">
        <v>-0.24500000000000011</v>
      </c>
      <c r="S222" s="66">
        <v>-0.33499999999999996</v>
      </c>
      <c r="T222" s="66">
        <v>-0.91400000000000015</v>
      </c>
      <c r="U222" s="66">
        <v>-6.0999999999999943E-2</v>
      </c>
      <c r="V222" s="66">
        <v>-0.26099999999999968</v>
      </c>
      <c r="W222" s="66">
        <v>-0.26000000000000023</v>
      </c>
      <c r="X222" s="66">
        <v>-0.26100000000000012</v>
      </c>
      <c r="Y222" s="66">
        <v>-3.7810000000000001</v>
      </c>
      <c r="Z222" s="34"/>
      <c r="AA222" s="66">
        <v>-5.3550000000000004</v>
      </c>
      <c r="AB222" s="60">
        <v>1.57</v>
      </c>
      <c r="AC222" s="34"/>
      <c r="AD222" s="66">
        <v>-5.3550000000000004</v>
      </c>
      <c r="AE222" s="60">
        <v>1.57</v>
      </c>
    </row>
    <row r="223" spans="1:31" ht="18" hidden="1" customHeight="1" outlineLevel="1" x14ac:dyDescent="0.2">
      <c r="A223" s="30" t="s">
        <v>170</v>
      </c>
      <c r="B223" s="30" t="s">
        <v>22</v>
      </c>
      <c r="C223" s="4">
        <v>0.28248587570621464</v>
      </c>
      <c r="D223" s="4">
        <v>5.3248136315228976E-2</v>
      </c>
      <c r="F223" s="38" t="s">
        <v>171</v>
      </c>
      <c r="G223" s="34"/>
      <c r="H223" s="66">
        <v>-0.66800000000000004</v>
      </c>
      <c r="I223" s="66">
        <v>-1.6040000000000001</v>
      </c>
      <c r="J223" s="66">
        <v>-1.6040000000000001</v>
      </c>
      <c r="K223" s="86">
        <v>-1.2390000000000001</v>
      </c>
      <c r="L223" s="86">
        <v>-0.93899999999999995</v>
      </c>
      <c r="M223" s="66">
        <v>-0.88800000000000001</v>
      </c>
      <c r="N223" s="66">
        <v>0</v>
      </c>
      <c r="O223" s="66">
        <v>0</v>
      </c>
      <c r="P223" s="66">
        <v>0</v>
      </c>
      <c r="Q223" s="66">
        <v>0</v>
      </c>
      <c r="R223" s="66">
        <v>0</v>
      </c>
      <c r="S223" s="66">
        <v>0</v>
      </c>
      <c r="T223" s="66">
        <v>0</v>
      </c>
      <c r="U223" s="66">
        <v>0</v>
      </c>
      <c r="V223" s="66">
        <v>0</v>
      </c>
      <c r="W223" s="66">
        <v>0</v>
      </c>
      <c r="X223" s="66">
        <v>0</v>
      </c>
      <c r="Y223" s="66">
        <v>-0.88800000000000001</v>
      </c>
      <c r="Z223" s="34"/>
      <c r="AA223" s="66">
        <v>-1.2390000000000001</v>
      </c>
      <c r="AB223" s="60">
        <v>0.35</v>
      </c>
      <c r="AC223" s="34"/>
      <c r="AD223" s="66">
        <v>-0.93899999999999995</v>
      </c>
      <c r="AE223" s="60">
        <v>0.05</v>
      </c>
    </row>
    <row r="224" spans="1:31" ht="18" customHeight="1" collapsed="1" x14ac:dyDescent="0.2">
      <c r="A224" s="35"/>
      <c r="B224" s="35"/>
      <c r="C224" s="4">
        <v>4.5662100456621002E-2</v>
      </c>
      <c r="D224" s="4">
        <v>-0.72046733016010378</v>
      </c>
      <c r="F224" s="106" t="s">
        <v>151</v>
      </c>
      <c r="H224" s="61">
        <v>-8.6189999999999998</v>
      </c>
      <c r="I224" s="61">
        <v>-14.230999999999998</v>
      </c>
      <c r="J224" s="61">
        <v>-14.230999999999998</v>
      </c>
      <c r="K224" s="86">
        <v>-8.322000000000001</v>
      </c>
      <c r="L224" s="86">
        <v>-4.6220000000000008</v>
      </c>
      <c r="M224" s="61">
        <v>-1.583</v>
      </c>
      <c r="N224" s="61">
        <v>-0.26400000000000001</v>
      </c>
      <c r="O224" s="61">
        <v>-0.29100000000000004</v>
      </c>
      <c r="P224" s="61">
        <v>-0.35600000000000004</v>
      </c>
      <c r="Q224" s="61">
        <v>-0.33099999999999991</v>
      </c>
      <c r="R224" s="61">
        <v>-0.54800000000000015</v>
      </c>
      <c r="S224" s="61">
        <v>-0.33499999999999996</v>
      </c>
      <c r="T224" s="61">
        <v>-1.0590000000000002</v>
      </c>
      <c r="U224" s="61">
        <v>-6.0999999999999943E-2</v>
      </c>
      <c r="V224" s="61">
        <v>-0.26099999999999968</v>
      </c>
      <c r="W224" s="61">
        <v>-2.5970000000000004</v>
      </c>
      <c r="X224" s="61">
        <v>-0.26100000000000012</v>
      </c>
      <c r="Y224" s="61">
        <v>-7.9470000000000001</v>
      </c>
      <c r="AA224" s="61">
        <v>-8.322000000000001</v>
      </c>
      <c r="AB224" s="60">
        <v>0.38</v>
      </c>
      <c r="AD224" s="61">
        <v>-4.6220000000000008</v>
      </c>
      <c r="AE224" s="60">
        <v>-3.33</v>
      </c>
    </row>
    <row r="225" spans="1:39" ht="18" customHeight="1" collapsed="1" x14ac:dyDescent="0.2">
      <c r="A225" s="30" t="s">
        <v>146</v>
      </c>
      <c r="B225" s="30" t="s">
        <v>22</v>
      </c>
      <c r="C225" s="4">
        <v>0.22809123649459789</v>
      </c>
      <c r="D225" s="4">
        <v>0.22809123649459789</v>
      </c>
      <c r="F225" s="106" t="s">
        <v>147</v>
      </c>
      <c r="H225" s="61">
        <v>-1.1339999999999999</v>
      </c>
      <c r="I225" s="61">
        <v>-2.177</v>
      </c>
      <c r="J225" s="61">
        <v>-2.177</v>
      </c>
      <c r="K225" s="86">
        <v>-1.6659999999999999</v>
      </c>
      <c r="L225" s="86">
        <v>-1.6659999999999999</v>
      </c>
      <c r="M225" s="61">
        <v>-6.7000000000000004E-2</v>
      </c>
      <c r="N225" s="61">
        <v>-6.8000000000000005E-2</v>
      </c>
      <c r="O225" s="61">
        <v>-6.5000000000000002E-2</v>
      </c>
      <c r="P225" s="61">
        <v>-6.8000000000000005E-2</v>
      </c>
      <c r="Q225" s="61">
        <v>-0.15699999999999997</v>
      </c>
      <c r="R225" s="61">
        <v>-6.7000000000000004E-2</v>
      </c>
      <c r="S225" s="61">
        <v>-6.800000000000006E-2</v>
      </c>
      <c r="T225" s="61">
        <v>-6.4999999999999947E-2</v>
      </c>
      <c r="U225" s="61">
        <v>-6.7999999999999949E-2</v>
      </c>
      <c r="V225" s="61">
        <v>-0.47899999999999998</v>
      </c>
      <c r="W225" s="61">
        <v>-0.25</v>
      </c>
      <c r="X225" s="61">
        <v>0.1339999999999999</v>
      </c>
      <c r="Y225" s="61">
        <v>-1.288</v>
      </c>
      <c r="AA225" s="61">
        <v>-1.6659999999999997</v>
      </c>
      <c r="AB225" s="60">
        <v>0.38</v>
      </c>
      <c r="AD225" s="61">
        <v>-1.6659999999999997</v>
      </c>
      <c r="AE225" s="60">
        <v>0.38</v>
      </c>
    </row>
    <row r="226" spans="1:39" ht="18" hidden="1" customHeight="1" outlineLevel="1" x14ac:dyDescent="0.2">
      <c r="A226" s="30" t="s">
        <v>154</v>
      </c>
      <c r="B226" s="30" t="s">
        <v>22</v>
      </c>
      <c r="C226" s="4">
        <v>1.7830540037243947</v>
      </c>
      <c r="D226" s="4">
        <v>4.0693430656934302</v>
      </c>
      <c r="F226" s="38" t="s">
        <v>155</v>
      </c>
      <c r="G226" s="34"/>
      <c r="H226" s="66">
        <v>0</v>
      </c>
      <c r="I226" s="66">
        <v>-6.452</v>
      </c>
      <c r="J226" s="66">
        <v>-6.452</v>
      </c>
      <c r="K226" s="86">
        <v>-2.1480000000000001</v>
      </c>
      <c r="L226" s="86">
        <v>-0.54800000000000004</v>
      </c>
      <c r="M226" s="66">
        <v>2</v>
      </c>
      <c r="N226" s="66">
        <v>0</v>
      </c>
      <c r="O226" s="66">
        <v>0</v>
      </c>
      <c r="P226" s="66">
        <v>-0.31699999999999995</v>
      </c>
      <c r="Q226" s="66">
        <v>0</v>
      </c>
      <c r="R226" s="66">
        <v>0</v>
      </c>
      <c r="S226" s="66">
        <v>0</v>
      </c>
      <c r="T226" s="66">
        <v>0</v>
      </c>
      <c r="U226" s="66">
        <v>0</v>
      </c>
      <c r="V226" s="66">
        <v>0</v>
      </c>
      <c r="W226" s="66">
        <v>0</v>
      </c>
      <c r="X226" s="66">
        <v>0</v>
      </c>
      <c r="Y226" s="66">
        <v>1.6830000000000001</v>
      </c>
      <c r="Z226" s="34"/>
      <c r="AA226" s="66">
        <v>-2.1480000000000001</v>
      </c>
      <c r="AB226" s="60">
        <v>3.83</v>
      </c>
      <c r="AC226" s="34"/>
      <c r="AD226" s="66">
        <v>-0.54800000000000004</v>
      </c>
      <c r="AE226" s="60">
        <v>2.23</v>
      </c>
    </row>
    <row r="227" spans="1:39" ht="18" hidden="1" customHeight="1" outlineLevel="1" x14ac:dyDescent="0.2">
      <c r="A227" s="30" t="s">
        <v>156</v>
      </c>
      <c r="B227" s="30" t="s">
        <v>22</v>
      </c>
      <c r="C227" s="4">
        <v>0.99846390168970811</v>
      </c>
      <c r="D227" s="4">
        <v>-1.0101010101010099</v>
      </c>
      <c r="F227" s="38" t="s">
        <v>157</v>
      </c>
      <c r="G227" s="34"/>
      <c r="H227" s="66">
        <v>-2.1760000000000002</v>
      </c>
      <c r="I227" s="66">
        <v>-1.038</v>
      </c>
      <c r="J227" s="66">
        <v>-1.038</v>
      </c>
      <c r="K227" s="86">
        <v>-1.302</v>
      </c>
      <c r="L227" s="86">
        <v>0.19800000000000001</v>
      </c>
      <c r="M227" s="66">
        <v>0</v>
      </c>
      <c r="N227" s="66">
        <v>0</v>
      </c>
      <c r="O227" s="66">
        <v>0</v>
      </c>
      <c r="P227" s="66">
        <v>0</v>
      </c>
      <c r="Q227" s="66">
        <v>0</v>
      </c>
      <c r="R227" s="66">
        <v>0</v>
      </c>
      <c r="S227" s="66">
        <v>0</v>
      </c>
      <c r="T227" s="66">
        <v>0</v>
      </c>
      <c r="U227" s="66">
        <v>0</v>
      </c>
      <c r="V227" s="66">
        <v>0</v>
      </c>
      <c r="W227" s="66">
        <v>0</v>
      </c>
      <c r="X227" s="66">
        <v>0</v>
      </c>
      <c r="Y227" s="66">
        <v>0</v>
      </c>
      <c r="Z227" s="34"/>
      <c r="AA227" s="66">
        <v>-1.302</v>
      </c>
      <c r="AB227" s="60">
        <v>1.3</v>
      </c>
      <c r="AC227" s="34"/>
      <c r="AD227" s="66">
        <v>0.19800000000000004</v>
      </c>
      <c r="AE227" s="60">
        <v>-0.2</v>
      </c>
    </row>
    <row r="228" spans="1:39" ht="18" hidden="1" customHeight="1" outlineLevel="1" x14ac:dyDescent="0.2">
      <c r="A228" s="30" t="s">
        <v>160</v>
      </c>
      <c r="B228" s="30" t="s">
        <v>22</v>
      </c>
      <c r="C228" s="4">
        <v>0</v>
      </c>
      <c r="D228" s="4">
        <v>0</v>
      </c>
      <c r="F228" s="38" t="s">
        <v>161</v>
      </c>
      <c r="G228" s="34"/>
      <c r="H228" s="66">
        <v>5.39</v>
      </c>
      <c r="I228" s="66">
        <v>0</v>
      </c>
      <c r="J228" s="66">
        <v>0</v>
      </c>
      <c r="K228" s="86">
        <v>0</v>
      </c>
      <c r="L228" s="86">
        <v>0</v>
      </c>
      <c r="M228" s="66">
        <v>0</v>
      </c>
      <c r="N228" s="66">
        <v>0</v>
      </c>
      <c r="O228" s="66">
        <v>0</v>
      </c>
      <c r="P228" s="66">
        <v>0</v>
      </c>
      <c r="Q228" s="66">
        <v>0</v>
      </c>
      <c r="R228" s="66">
        <v>0</v>
      </c>
      <c r="S228" s="66">
        <v>0</v>
      </c>
      <c r="T228" s="66">
        <v>0</v>
      </c>
      <c r="U228" s="66">
        <v>0</v>
      </c>
      <c r="V228" s="66">
        <v>0</v>
      </c>
      <c r="W228" s="66">
        <v>0</v>
      </c>
      <c r="X228" s="66">
        <v>0</v>
      </c>
      <c r="Y228" s="66">
        <v>0</v>
      </c>
      <c r="Z228" s="34"/>
      <c r="AA228" s="66">
        <v>0</v>
      </c>
      <c r="AB228" s="60">
        <v>0</v>
      </c>
      <c r="AC228" s="34"/>
      <c r="AD228" s="66">
        <v>0</v>
      </c>
      <c r="AE228" s="60">
        <v>0</v>
      </c>
    </row>
    <row r="229" spans="1:39" ht="18" customHeight="1" collapsed="1" x14ac:dyDescent="0.2">
      <c r="A229" s="35"/>
      <c r="B229" s="35"/>
      <c r="C229" s="4">
        <v>1.4869565217391301</v>
      </c>
      <c r="D229" s="4">
        <v>5.7999999999999989</v>
      </c>
      <c r="F229" s="106" t="s">
        <v>378</v>
      </c>
      <c r="H229" s="61">
        <v>3.2139999999999995</v>
      </c>
      <c r="I229" s="61">
        <v>-7.49</v>
      </c>
      <c r="J229" s="61">
        <v>-7.49</v>
      </c>
      <c r="K229" s="86">
        <v>-3.45</v>
      </c>
      <c r="L229" s="86">
        <v>-0.35000000000000003</v>
      </c>
      <c r="M229" s="61">
        <v>2</v>
      </c>
      <c r="N229" s="61">
        <v>0</v>
      </c>
      <c r="O229" s="61">
        <v>0</v>
      </c>
      <c r="P229" s="61">
        <v>-0.31699999999999995</v>
      </c>
      <c r="Q229" s="61">
        <v>0</v>
      </c>
      <c r="R229" s="61">
        <v>0</v>
      </c>
      <c r="S229" s="61">
        <v>0</v>
      </c>
      <c r="T229" s="61">
        <v>0</v>
      </c>
      <c r="U229" s="61">
        <v>0</v>
      </c>
      <c r="V229" s="61">
        <v>0</v>
      </c>
      <c r="W229" s="61">
        <v>0</v>
      </c>
      <c r="X229" s="61">
        <v>0</v>
      </c>
      <c r="Y229" s="61">
        <v>1.6830000000000001</v>
      </c>
      <c r="AA229" s="61">
        <v>-3.4500000000000006</v>
      </c>
      <c r="AB229" s="60">
        <v>5.13</v>
      </c>
      <c r="AD229" s="61">
        <v>-0.35000000000000003</v>
      </c>
      <c r="AE229" s="60">
        <v>2.0299999999999998</v>
      </c>
    </row>
    <row r="230" spans="1:39" ht="18" customHeight="1" x14ac:dyDescent="0.2">
      <c r="A230" s="30" t="s">
        <v>408</v>
      </c>
      <c r="B230" s="30" t="s">
        <v>22</v>
      </c>
      <c r="C230" s="4"/>
      <c r="D230" s="4"/>
      <c r="F230" s="106" t="s">
        <v>409</v>
      </c>
      <c r="H230" s="61">
        <v>-0.498</v>
      </c>
      <c r="I230" s="61">
        <v>-0.44400000000000001</v>
      </c>
      <c r="J230" s="61">
        <v>-0.44400000000000001</v>
      </c>
      <c r="K230" s="86">
        <v>0</v>
      </c>
      <c r="L230" s="86">
        <v>0</v>
      </c>
      <c r="M230" s="61">
        <v>0</v>
      </c>
      <c r="N230" s="61">
        <v>-9.5000000000000001E-2</v>
      </c>
      <c r="O230" s="61">
        <v>0</v>
      </c>
      <c r="P230" s="61">
        <v>0</v>
      </c>
      <c r="Q230" s="61">
        <v>-0.1</v>
      </c>
      <c r="R230" s="61">
        <v>0</v>
      </c>
      <c r="S230" s="61">
        <v>0</v>
      </c>
      <c r="T230" s="61">
        <v>-9.099999999999997E-2</v>
      </c>
      <c r="U230" s="61">
        <v>0</v>
      </c>
      <c r="V230" s="61">
        <v>0</v>
      </c>
      <c r="W230" s="61">
        <v>-8.3000000000000018E-2</v>
      </c>
      <c r="X230" s="61">
        <v>0</v>
      </c>
      <c r="Y230" s="61">
        <v>-0.36899999999999999</v>
      </c>
      <c r="AA230" s="61">
        <v>0</v>
      </c>
      <c r="AB230" s="60">
        <v>-0.37</v>
      </c>
      <c r="AD230" s="61">
        <v>0</v>
      </c>
      <c r="AE230" s="60">
        <v>-0.37</v>
      </c>
      <c r="AM230"/>
    </row>
    <row r="231" spans="1:39" ht="18" hidden="1" customHeight="1" outlineLevel="1" x14ac:dyDescent="0.2">
      <c r="A231" s="30" t="s">
        <v>148</v>
      </c>
      <c r="B231" s="30" t="s">
        <v>22</v>
      </c>
      <c r="C231" s="4">
        <v>0</v>
      </c>
      <c r="D231" s="4">
        <v>0</v>
      </c>
      <c r="F231" s="38" t="s">
        <v>149</v>
      </c>
      <c r="G231" s="34"/>
      <c r="H231" s="66">
        <v>0</v>
      </c>
      <c r="I231" s="66">
        <v>0</v>
      </c>
      <c r="J231" s="66">
        <v>0</v>
      </c>
      <c r="K231" s="86">
        <v>0</v>
      </c>
      <c r="L231" s="86">
        <v>0</v>
      </c>
      <c r="M231" s="66">
        <v>0</v>
      </c>
      <c r="N231" s="66">
        <v>0</v>
      </c>
      <c r="O231" s="66">
        <v>0</v>
      </c>
      <c r="P231" s="66">
        <v>0</v>
      </c>
      <c r="Q231" s="66">
        <v>0</v>
      </c>
      <c r="R231" s="66">
        <v>0</v>
      </c>
      <c r="S231" s="66">
        <v>0</v>
      </c>
      <c r="T231" s="66">
        <v>0</v>
      </c>
      <c r="U231" s="66">
        <v>0</v>
      </c>
      <c r="V231" s="66">
        <v>0</v>
      </c>
      <c r="W231" s="66">
        <v>0</v>
      </c>
      <c r="X231" s="66">
        <v>0</v>
      </c>
      <c r="Y231" s="66">
        <v>0</v>
      </c>
      <c r="Z231" s="34"/>
      <c r="AA231" s="66">
        <v>0</v>
      </c>
      <c r="AB231" s="60">
        <v>0</v>
      </c>
      <c r="AC231" s="34"/>
      <c r="AD231" s="66">
        <v>0</v>
      </c>
      <c r="AE231" s="60">
        <v>0</v>
      </c>
    </row>
    <row r="232" spans="1:39" ht="18" hidden="1" customHeight="1" outlineLevel="1" x14ac:dyDescent="0.2">
      <c r="A232" s="30" t="s">
        <v>158</v>
      </c>
      <c r="B232" s="30" t="s">
        <v>22</v>
      </c>
      <c r="C232" s="4">
        <v>0.98571428571428588</v>
      </c>
      <c r="D232" s="4">
        <v>0.96666666666666667</v>
      </c>
      <c r="F232" s="38" t="s">
        <v>159</v>
      </c>
      <c r="G232" s="34"/>
      <c r="H232" s="66">
        <v>-0.17100000000000001</v>
      </c>
      <c r="I232" s="66">
        <v>-0.112</v>
      </c>
      <c r="J232" s="66">
        <v>-0.112</v>
      </c>
      <c r="K232" s="86">
        <v>-2.8</v>
      </c>
      <c r="L232" s="86">
        <v>-1.2</v>
      </c>
      <c r="M232" s="66">
        <v>0</v>
      </c>
      <c r="N232" s="66">
        <v>0</v>
      </c>
      <c r="O232" s="66">
        <v>0</v>
      </c>
      <c r="P232" s="66">
        <v>0</v>
      </c>
      <c r="Q232" s="66">
        <v>0</v>
      </c>
      <c r="R232" s="66">
        <v>0</v>
      </c>
      <c r="S232" s="66">
        <v>0</v>
      </c>
      <c r="T232" s="66">
        <v>-2.1999999999999999E-2</v>
      </c>
      <c r="U232" s="66">
        <v>0</v>
      </c>
      <c r="V232" s="66">
        <v>-1.9000000000000003E-2</v>
      </c>
      <c r="W232" s="66">
        <v>0</v>
      </c>
      <c r="X232" s="66">
        <v>0</v>
      </c>
      <c r="Y232" s="66">
        <v>-4.1000000000000002E-2</v>
      </c>
      <c r="Z232" s="34"/>
      <c r="AA232" s="66">
        <v>-2.7999999999999994</v>
      </c>
      <c r="AB232" s="60">
        <v>2.76</v>
      </c>
      <c r="AC232" s="34"/>
      <c r="AD232" s="66">
        <v>-1.2</v>
      </c>
      <c r="AE232" s="60">
        <v>1.1599999999999999</v>
      </c>
    </row>
    <row r="233" spans="1:39" ht="18" hidden="1" customHeight="1" outlineLevel="1" x14ac:dyDescent="0.2">
      <c r="A233" s="30" t="s">
        <v>152</v>
      </c>
      <c r="B233" s="30" t="s">
        <v>22</v>
      </c>
      <c r="C233" s="4">
        <v>0</v>
      </c>
      <c r="D233" s="4">
        <v>0</v>
      </c>
      <c r="F233" s="38" t="s">
        <v>153</v>
      </c>
      <c r="G233" s="34"/>
      <c r="H233" s="66">
        <v>2.5999999999999999E-2</v>
      </c>
      <c r="I233" s="66">
        <v>0</v>
      </c>
      <c r="J233" s="66">
        <v>0</v>
      </c>
      <c r="K233" s="86">
        <v>0</v>
      </c>
      <c r="L233" s="86">
        <v>0</v>
      </c>
      <c r="M233" s="66">
        <v>0</v>
      </c>
      <c r="N233" s="66">
        <v>0</v>
      </c>
      <c r="O233" s="66">
        <v>0</v>
      </c>
      <c r="P233" s="66">
        <v>0</v>
      </c>
      <c r="Q233" s="66">
        <v>0</v>
      </c>
      <c r="R233" s="66">
        <v>0</v>
      </c>
      <c r="S233" s="66">
        <v>0</v>
      </c>
      <c r="T233" s="66">
        <v>0</v>
      </c>
      <c r="U233" s="66">
        <v>0</v>
      </c>
      <c r="V233" s="66">
        <v>0</v>
      </c>
      <c r="W233" s="66">
        <v>0</v>
      </c>
      <c r="X233" s="66">
        <v>0</v>
      </c>
      <c r="Y233" s="66">
        <v>0</v>
      </c>
      <c r="Z233" s="34"/>
      <c r="AA233" s="66">
        <v>0</v>
      </c>
      <c r="AB233" s="60">
        <v>0</v>
      </c>
      <c r="AC233" s="34"/>
      <c r="AD233" s="66">
        <v>0</v>
      </c>
      <c r="AE233" s="60">
        <v>0</v>
      </c>
    </row>
    <row r="234" spans="1:39" ht="18" hidden="1" customHeight="1" outlineLevel="1" x14ac:dyDescent="0.2">
      <c r="A234" s="30" t="s">
        <v>269</v>
      </c>
      <c r="B234" s="30" t="s">
        <v>22</v>
      </c>
      <c r="C234" s="4">
        <v>0</v>
      </c>
      <c r="D234" s="4">
        <v>0</v>
      </c>
      <c r="F234" s="38" t="s">
        <v>271</v>
      </c>
      <c r="G234" s="34"/>
      <c r="H234" s="66">
        <v>0</v>
      </c>
      <c r="I234" s="66">
        <v>0</v>
      </c>
      <c r="J234" s="66">
        <v>0</v>
      </c>
      <c r="K234" s="86">
        <v>0</v>
      </c>
      <c r="L234" s="86">
        <v>0</v>
      </c>
      <c r="M234" s="66">
        <v>0</v>
      </c>
      <c r="N234" s="66">
        <v>0</v>
      </c>
      <c r="O234" s="66">
        <v>0</v>
      </c>
      <c r="P234" s="66">
        <v>0</v>
      </c>
      <c r="Q234" s="66">
        <v>0</v>
      </c>
      <c r="R234" s="66">
        <v>0</v>
      </c>
      <c r="S234" s="66">
        <v>0</v>
      </c>
      <c r="T234" s="66">
        <v>0</v>
      </c>
      <c r="U234" s="66">
        <v>0</v>
      </c>
      <c r="V234" s="66">
        <v>0</v>
      </c>
      <c r="W234" s="66">
        <v>0</v>
      </c>
      <c r="X234" s="66">
        <v>0</v>
      </c>
      <c r="Y234" s="66">
        <v>0</v>
      </c>
      <c r="Z234" s="34"/>
      <c r="AA234" s="66">
        <v>0</v>
      </c>
      <c r="AB234" s="60">
        <v>0</v>
      </c>
      <c r="AC234" s="34"/>
      <c r="AD234" s="66">
        <v>0</v>
      </c>
      <c r="AE234" s="60">
        <v>0</v>
      </c>
    </row>
    <row r="235" spans="1:39" ht="18" hidden="1" customHeight="1" outlineLevel="1" x14ac:dyDescent="0.2">
      <c r="A235" s="30" t="s">
        <v>270</v>
      </c>
      <c r="B235" s="30" t="s">
        <v>22</v>
      </c>
      <c r="C235" s="4">
        <v>0</v>
      </c>
      <c r="D235" s="4">
        <v>0</v>
      </c>
      <c r="F235" s="38" t="s">
        <v>272</v>
      </c>
      <c r="G235" s="34"/>
      <c r="H235" s="66">
        <v>-0.04</v>
      </c>
      <c r="I235" s="66">
        <v>0</v>
      </c>
      <c r="J235" s="66">
        <v>0</v>
      </c>
      <c r="K235" s="86">
        <v>0</v>
      </c>
      <c r="L235" s="86">
        <v>0</v>
      </c>
      <c r="M235" s="66">
        <v>0</v>
      </c>
      <c r="N235" s="66">
        <v>0</v>
      </c>
      <c r="O235" s="66">
        <v>0</v>
      </c>
      <c r="P235" s="66">
        <v>0</v>
      </c>
      <c r="Q235" s="66">
        <v>0</v>
      </c>
      <c r="R235" s="66">
        <v>0</v>
      </c>
      <c r="S235" s="66">
        <v>0</v>
      </c>
      <c r="T235" s="66">
        <v>0</v>
      </c>
      <c r="U235" s="66">
        <v>0</v>
      </c>
      <c r="V235" s="66">
        <v>0</v>
      </c>
      <c r="W235" s="66">
        <v>0</v>
      </c>
      <c r="X235" s="66">
        <v>0</v>
      </c>
      <c r="Y235" s="66">
        <v>0</v>
      </c>
      <c r="Z235" s="34"/>
      <c r="AA235" s="66">
        <v>0</v>
      </c>
      <c r="AB235" s="60">
        <v>0</v>
      </c>
      <c r="AC235" s="34"/>
      <c r="AD235" s="66">
        <v>0</v>
      </c>
      <c r="AE235" s="60">
        <v>0</v>
      </c>
    </row>
    <row r="236" spans="1:39" ht="18" hidden="1" customHeight="1" outlineLevel="1" x14ac:dyDescent="0.2">
      <c r="A236" s="30" t="s">
        <v>162</v>
      </c>
      <c r="B236" s="30" t="s">
        <v>22</v>
      </c>
      <c r="C236" s="4">
        <v>0.34632034632034631</v>
      </c>
      <c r="D236" s="4">
        <v>-0.67032967032967028</v>
      </c>
      <c r="F236" s="38" t="s">
        <v>163</v>
      </c>
      <c r="G236" s="34"/>
      <c r="H236" s="66">
        <v>-2.4780000000000002</v>
      </c>
      <c r="I236" s="66">
        <v>-1.7509999999999999</v>
      </c>
      <c r="J236" s="66">
        <v>-1.7509999999999999</v>
      </c>
      <c r="K236" s="86">
        <v>-2.31</v>
      </c>
      <c r="L236" s="86">
        <v>-0.91</v>
      </c>
      <c r="M236" s="66">
        <v>0</v>
      </c>
      <c r="N236" s="66">
        <v>0</v>
      </c>
      <c r="O236" s="66">
        <v>0</v>
      </c>
      <c r="P236" s="66">
        <v>0</v>
      </c>
      <c r="Q236" s="66">
        <v>0</v>
      </c>
      <c r="R236" s="66">
        <v>0</v>
      </c>
      <c r="S236" s="66">
        <v>0</v>
      </c>
      <c r="T236" s="66">
        <v>0</v>
      </c>
      <c r="U236" s="66">
        <v>0</v>
      </c>
      <c r="V236" s="66">
        <v>0</v>
      </c>
      <c r="W236" s="66">
        <v>0</v>
      </c>
      <c r="X236" s="66">
        <v>-1.5149999999999999</v>
      </c>
      <c r="Y236" s="66">
        <v>-1.5149999999999999</v>
      </c>
      <c r="Z236" s="34"/>
      <c r="AA236" s="66">
        <v>-2.31</v>
      </c>
      <c r="AB236" s="60">
        <v>0.8</v>
      </c>
      <c r="AC236" s="34"/>
      <c r="AD236" s="66">
        <v>-0.91</v>
      </c>
      <c r="AE236" s="60">
        <v>-0.61</v>
      </c>
    </row>
    <row r="237" spans="1:39" ht="18" hidden="1" customHeight="1" outlineLevel="1" x14ac:dyDescent="0.2">
      <c r="A237" s="30" t="s">
        <v>164</v>
      </c>
      <c r="B237" s="30" t="s">
        <v>22</v>
      </c>
      <c r="C237" s="4">
        <v>0</v>
      </c>
      <c r="D237" s="4">
        <v>0</v>
      </c>
      <c r="F237" s="38" t="s">
        <v>165</v>
      </c>
      <c r="G237" s="34"/>
      <c r="H237" s="66">
        <v>0</v>
      </c>
      <c r="I237" s="66">
        <v>0</v>
      </c>
      <c r="J237" s="66">
        <v>0</v>
      </c>
      <c r="K237" s="86">
        <v>0</v>
      </c>
      <c r="L237" s="8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0</v>
      </c>
      <c r="R237" s="66">
        <v>0</v>
      </c>
      <c r="S237" s="66">
        <v>0</v>
      </c>
      <c r="T237" s="66">
        <v>0</v>
      </c>
      <c r="U237" s="66">
        <v>0</v>
      </c>
      <c r="V237" s="66">
        <v>0</v>
      </c>
      <c r="W237" s="66">
        <v>0</v>
      </c>
      <c r="X237" s="66">
        <v>0</v>
      </c>
      <c r="Y237" s="66">
        <v>0</v>
      </c>
      <c r="Z237" s="34"/>
      <c r="AA237" s="66">
        <v>0</v>
      </c>
      <c r="AB237" s="60">
        <v>0</v>
      </c>
      <c r="AC237" s="34"/>
      <c r="AD237" s="66">
        <v>0</v>
      </c>
      <c r="AE237" s="60">
        <v>0</v>
      </c>
    </row>
    <row r="238" spans="1:39" ht="18" hidden="1" customHeight="1" outlineLevel="1" x14ac:dyDescent="0.2">
      <c r="A238" s="30" t="s">
        <v>166</v>
      </c>
      <c r="B238" s="30" t="s">
        <v>22</v>
      </c>
      <c r="C238" s="4">
        <v>0</v>
      </c>
      <c r="D238" s="4">
        <v>0</v>
      </c>
      <c r="F238" s="38" t="s">
        <v>167</v>
      </c>
      <c r="G238" s="34"/>
      <c r="H238" s="66">
        <v>0</v>
      </c>
      <c r="I238" s="66">
        <v>0</v>
      </c>
      <c r="J238" s="66">
        <v>0</v>
      </c>
      <c r="K238" s="86">
        <v>0</v>
      </c>
      <c r="L238" s="86">
        <v>0</v>
      </c>
      <c r="M238" s="66">
        <v>0</v>
      </c>
      <c r="N238" s="66">
        <v>0</v>
      </c>
      <c r="O238" s="66">
        <v>0</v>
      </c>
      <c r="P238" s="66">
        <v>0</v>
      </c>
      <c r="Q238" s="66">
        <v>0</v>
      </c>
      <c r="R238" s="66">
        <v>0</v>
      </c>
      <c r="S238" s="66">
        <v>0</v>
      </c>
      <c r="T238" s="66">
        <v>0</v>
      </c>
      <c r="U238" s="66">
        <v>0</v>
      </c>
      <c r="V238" s="66">
        <v>0</v>
      </c>
      <c r="W238" s="66">
        <v>0</v>
      </c>
      <c r="X238" s="66">
        <v>0</v>
      </c>
      <c r="Y238" s="66">
        <v>0</v>
      </c>
      <c r="Z238" s="34"/>
      <c r="AA238" s="66">
        <v>0</v>
      </c>
      <c r="AB238" s="60">
        <v>0</v>
      </c>
      <c r="AC238" s="34"/>
      <c r="AD238" s="66">
        <v>0</v>
      </c>
      <c r="AE238" s="60">
        <v>0</v>
      </c>
    </row>
    <row r="239" spans="1:39" ht="18" customHeight="1" collapsed="1" x14ac:dyDescent="0.2">
      <c r="A239" s="35"/>
      <c r="B239" s="35"/>
      <c r="C239" s="4">
        <v>0.69471624266144816</v>
      </c>
      <c r="D239" s="4">
        <v>0.26066350710900477</v>
      </c>
      <c r="F239" s="106" t="s">
        <v>189</v>
      </c>
      <c r="H239" s="61">
        <v>-2.6630000000000003</v>
      </c>
      <c r="I239" s="61">
        <v>-1.863</v>
      </c>
      <c r="J239" s="61">
        <v>-1.863</v>
      </c>
      <c r="K239" s="86">
        <v>-5.1099999999999994</v>
      </c>
      <c r="L239" s="86">
        <v>-2.11</v>
      </c>
      <c r="M239" s="61">
        <v>0</v>
      </c>
      <c r="N239" s="61">
        <v>0</v>
      </c>
      <c r="O239" s="61">
        <v>0</v>
      </c>
      <c r="P239" s="61">
        <v>0</v>
      </c>
      <c r="Q239" s="61">
        <v>0</v>
      </c>
      <c r="R239" s="61">
        <v>0</v>
      </c>
      <c r="S239" s="61">
        <v>0</v>
      </c>
      <c r="T239" s="61">
        <v>-2.1999999999999999E-2</v>
      </c>
      <c r="U239" s="61">
        <v>0</v>
      </c>
      <c r="V239" s="61">
        <v>-1.9000000000000003E-2</v>
      </c>
      <c r="W239" s="61">
        <v>0</v>
      </c>
      <c r="X239" s="61">
        <v>-1.5149999999999999</v>
      </c>
      <c r="Y239" s="61">
        <v>-1.5559999999999998</v>
      </c>
      <c r="AA239" s="61">
        <v>-5.1099999999999994</v>
      </c>
      <c r="AB239" s="60">
        <v>3.55</v>
      </c>
      <c r="AD239" s="61">
        <v>-2.11</v>
      </c>
      <c r="AE239" s="60">
        <v>0.55000000000000004</v>
      </c>
    </row>
    <row r="240" spans="1:39" ht="18" customHeight="1" x14ac:dyDescent="0.2">
      <c r="A240" s="35"/>
      <c r="B240" s="35"/>
      <c r="C240" s="4">
        <v>0.32037660596946615</v>
      </c>
      <c r="D240" s="4">
        <v>-4.4201115073584811E-2</v>
      </c>
      <c r="F240" s="95" t="s">
        <v>65</v>
      </c>
      <c r="H240" s="195">
        <v>-52.895000000000003</v>
      </c>
      <c r="I240" s="195">
        <v>-68.025000000000006</v>
      </c>
      <c r="J240" s="64">
        <v>-68.025000000000006</v>
      </c>
      <c r="K240" s="89">
        <v>-61.177999999999997</v>
      </c>
      <c r="L240" s="89">
        <v>-39.817999999999998</v>
      </c>
      <c r="M240" s="64">
        <v>-3.1859999999999999</v>
      </c>
      <c r="N240" s="64">
        <v>-3.2190000000000012</v>
      </c>
      <c r="O240" s="64">
        <v>-2.9849999999999994</v>
      </c>
      <c r="P240" s="64">
        <v>-3.8099999999999996</v>
      </c>
      <c r="Q240" s="64">
        <v>-4.9159999999999986</v>
      </c>
      <c r="R240" s="64">
        <v>-2.9400000000000013</v>
      </c>
      <c r="S240" s="64">
        <v>-4.8189999999999991</v>
      </c>
      <c r="T240" s="64">
        <v>-2.0840000000000014</v>
      </c>
      <c r="U240" s="64">
        <v>-1.2049999999999987</v>
      </c>
      <c r="V240" s="64">
        <v>-3.2510000000000008</v>
      </c>
      <c r="W240" s="64">
        <v>-4.7950000000000008</v>
      </c>
      <c r="X240" s="64">
        <v>-4.3700000000000019</v>
      </c>
      <c r="Y240" s="64">
        <v>-41.58</v>
      </c>
      <c r="AA240" s="64">
        <v>-61.178000000000004</v>
      </c>
      <c r="AB240" s="60">
        <v>19.600000000000001</v>
      </c>
      <c r="AD240" s="64">
        <v>-39.817999999999998</v>
      </c>
      <c r="AE240" s="60">
        <v>-1.76</v>
      </c>
    </row>
    <row r="241" spans="1:31" ht="12.95" customHeight="1" x14ac:dyDescent="0.2">
      <c r="A241" s="35"/>
      <c r="B241" s="35"/>
      <c r="C241" s="4"/>
      <c r="D241" s="4"/>
      <c r="F241" s="39" t="s">
        <v>223</v>
      </c>
      <c r="H241" s="56">
        <v>3.1103614699276058E-3</v>
      </c>
      <c r="I241" s="56">
        <v>3.8705448549349376E-3</v>
      </c>
      <c r="J241" s="56">
        <v>3.8705448549349376E-3</v>
      </c>
      <c r="K241" s="109">
        <v>3.5249039319923659E-3</v>
      </c>
      <c r="L241" s="109">
        <v>2.2115450784346473E-3</v>
      </c>
      <c r="M241" s="56">
        <v>2.2996155037103496E-3</v>
      </c>
      <c r="N241" s="56">
        <v>2.341286725798886E-3</v>
      </c>
      <c r="O241" s="56">
        <v>2.0927601016864071E-3</v>
      </c>
      <c r="P241" s="56">
        <v>2.4922159135508512E-3</v>
      </c>
      <c r="Q241" s="56">
        <v>3.0161452118081218E-3</v>
      </c>
      <c r="R241" s="56">
        <v>1.8756866352861335E-3</v>
      </c>
      <c r="S241" s="56">
        <v>3.2908394611190625E-3</v>
      </c>
      <c r="T241" s="56">
        <v>1.3756438429046421E-3</v>
      </c>
      <c r="U241" s="56">
        <v>7.9480140518249978E-4</v>
      </c>
      <c r="V241" s="56">
        <v>2.0634286936547833E-3</v>
      </c>
      <c r="W241" s="56">
        <v>3.0313394347863745E-3</v>
      </c>
      <c r="X241" s="56">
        <v>2.696914902151978E-3</v>
      </c>
      <c r="Y241" s="56">
        <v>2.2863904778820041E-3</v>
      </c>
      <c r="AA241" s="56">
        <v>3.5249039319923663E-3</v>
      </c>
      <c r="AB241" s="57"/>
      <c r="AD241" s="56">
        <v>2.2115450784346473E-3</v>
      </c>
      <c r="AE241" s="57"/>
    </row>
    <row r="242" spans="1:31" ht="6.95" customHeight="1" x14ac:dyDescent="0.2">
      <c r="C242" s="4"/>
      <c r="D242" s="4"/>
      <c r="F242" s="96"/>
      <c r="H242" s="16"/>
      <c r="I242" s="16"/>
      <c r="J242" s="16"/>
      <c r="K242" s="85"/>
      <c r="L242" s="85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AA242" s="16"/>
      <c r="AB242" s="20"/>
      <c r="AD242" s="16"/>
      <c r="AE242" s="20"/>
    </row>
    <row r="243" spans="1:31" ht="18" hidden="1" customHeight="1" outlineLevel="1" collapsed="1" x14ac:dyDescent="0.2">
      <c r="A243" s="35"/>
      <c r="B243" s="35"/>
      <c r="C243" s="4"/>
      <c r="D243" s="4"/>
      <c r="F243" s="97" t="s">
        <v>249</v>
      </c>
      <c r="H243" s="74">
        <v>1.3097428571428571</v>
      </c>
      <c r="I243" s="74">
        <v>1.4800285714285717</v>
      </c>
      <c r="J243" s="74">
        <v>1.4800285714285715</v>
      </c>
      <c r="K243" s="112">
        <v>1.3285714285714285</v>
      </c>
      <c r="L243" s="112">
        <v>1.4</v>
      </c>
      <c r="M243" s="74">
        <v>1.1324571428571428</v>
      </c>
      <c r="N243" s="74">
        <v>0.35382857142857144</v>
      </c>
      <c r="O243" s="74">
        <v>0.61337142857142846</v>
      </c>
      <c r="P243" s="74">
        <v>0.65245714285714262</v>
      </c>
      <c r="Q243" s="74">
        <v>0.28662857142857157</v>
      </c>
      <c r="R243" s="74">
        <v>0.84445714285714324</v>
      </c>
      <c r="S243" s="74">
        <v>0.51805714285714255</v>
      </c>
      <c r="T243" s="74">
        <v>1.4616000000000007</v>
      </c>
      <c r="U243" s="74">
        <v>2.3969142857142858</v>
      </c>
      <c r="V243" s="74">
        <v>2.9687999999999999</v>
      </c>
      <c r="W243" s="74">
        <v>1.6566857142857145</v>
      </c>
      <c r="X243" s="74">
        <v>1.8480000000000003</v>
      </c>
      <c r="Y243" s="74">
        <v>1.2277714285714285</v>
      </c>
      <c r="AA243" s="74">
        <v>1.3285714285714285</v>
      </c>
      <c r="AB243" s="73">
        <v>-0.1</v>
      </c>
      <c r="AD243" s="74">
        <v>1.4</v>
      </c>
      <c r="AE243" s="73">
        <v>-0.17</v>
      </c>
    </row>
    <row r="244" spans="1:31" ht="18" hidden="1" customHeight="1" outlineLevel="1" x14ac:dyDescent="0.2">
      <c r="A244" s="30" t="s">
        <v>79</v>
      </c>
      <c r="B244" s="30" t="s">
        <v>22</v>
      </c>
      <c r="C244" s="4">
        <v>7.5913978494623655E-2</v>
      </c>
      <c r="D244" s="4">
        <v>0.12306122448979592</v>
      </c>
      <c r="F244" s="106" t="s">
        <v>83</v>
      </c>
      <c r="H244" s="61">
        <v>-45.841000000000001</v>
      </c>
      <c r="I244" s="61">
        <v>-51.801000000000002</v>
      </c>
      <c r="J244" s="61">
        <v>-51.801000000000002</v>
      </c>
      <c r="K244" s="86">
        <v>-46.5</v>
      </c>
      <c r="L244" s="86">
        <v>-49</v>
      </c>
      <c r="M244" s="61">
        <v>-3.3029999999999999</v>
      </c>
      <c r="N244" s="61">
        <v>-1.032</v>
      </c>
      <c r="O244" s="61">
        <v>-1.7889999999999997</v>
      </c>
      <c r="P244" s="61">
        <v>-1.9029999999999996</v>
      </c>
      <c r="Q244" s="61">
        <v>-0.8360000000000003</v>
      </c>
      <c r="R244" s="61">
        <v>-2.463000000000001</v>
      </c>
      <c r="S244" s="61">
        <v>-1.5109999999999992</v>
      </c>
      <c r="T244" s="61">
        <v>-4.2630000000000017</v>
      </c>
      <c r="U244" s="61">
        <v>-6.9909999999999997</v>
      </c>
      <c r="V244" s="61">
        <v>-8.6589999999999989</v>
      </c>
      <c r="W244" s="61">
        <v>-4.8320000000000007</v>
      </c>
      <c r="X244" s="61">
        <v>-5.3900000000000006</v>
      </c>
      <c r="Y244" s="61">
        <v>-42.972000000000001</v>
      </c>
      <c r="AA244" s="61">
        <v>-46.5</v>
      </c>
      <c r="AB244" s="60">
        <v>3.53</v>
      </c>
      <c r="AD244" s="61">
        <v>-49</v>
      </c>
      <c r="AE244" s="60">
        <v>6.03</v>
      </c>
    </row>
    <row r="245" spans="1:31" ht="18" hidden="1" customHeight="1" outlineLevel="1" x14ac:dyDescent="0.2">
      <c r="A245" s="30" t="s">
        <v>80</v>
      </c>
      <c r="B245" s="30" t="s">
        <v>22</v>
      </c>
      <c r="C245" s="4">
        <v>0</v>
      </c>
      <c r="D245" s="4">
        <v>0</v>
      </c>
      <c r="F245" s="106" t="s">
        <v>84</v>
      </c>
      <c r="H245" s="61">
        <v>0</v>
      </c>
      <c r="I245" s="61">
        <v>-2.8000000000000001E-2</v>
      </c>
      <c r="J245" s="61">
        <v>-2.8000000000000001E-2</v>
      </c>
      <c r="K245" s="86">
        <v>0</v>
      </c>
      <c r="L245" s="86">
        <v>0</v>
      </c>
      <c r="M245" s="61">
        <v>0</v>
      </c>
      <c r="N245" s="61">
        <v>0</v>
      </c>
      <c r="O245" s="61">
        <v>0</v>
      </c>
      <c r="P245" s="61">
        <v>0</v>
      </c>
      <c r="Q245" s="61">
        <v>0</v>
      </c>
      <c r="R245" s="61">
        <v>0</v>
      </c>
      <c r="S245" s="61">
        <v>0</v>
      </c>
      <c r="T245" s="61">
        <v>0</v>
      </c>
      <c r="U245" s="61">
        <v>0</v>
      </c>
      <c r="V245" s="61">
        <v>0</v>
      </c>
      <c r="W245" s="61">
        <v>0</v>
      </c>
      <c r="X245" s="61">
        <v>0</v>
      </c>
      <c r="Y245" s="61">
        <v>0</v>
      </c>
      <c r="AA245" s="61">
        <v>0</v>
      </c>
      <c r="AB245" s="60">
        <v>0</v>
      </c>
      <c r="AD245" s="61">
        <v>0</v>
      </c>
      <c r="AE245" s="60">
        <v>0</v>
      </c>
    </row>
    <row r="246" spans="1:31" ht="18" hidden="1" customHeight="1" outlineLevel="1" x14ac:dyDescent="0.2">
      <c r="A246" s="30" t="s">
        <v>81</v>
      </c>
      <c r="B246" s="30" t="s">
        <v>22</v>
      </c>
      <c r="C246" s="4">
        <v>0</v>
      </c>
      <c r="D246" s="4">
        <v>0</v>
      </c>
      <c r="F246" s="106" t="s">
        <v>85</v>
      </c>
      <c r="H246" s="61">
        <v>-2.1999999999999999E-2</v>
      </c>
      <c r="I246" s="61">
        <v>-1.7999999999999999E-2</v>
      </c>
      <c r="J246" s="61">
        <v>-1.7999999999999999E-2</v>
      </c>
      <c r="K246" s="86">
        <v>0</v>
      </c>
      <c r="L246" s="86">
        <v>0</v>
      </c>
      <c r="M246" s="61">
        <v>0</v>
      </c>
      <c r="N246" s="61">
        <v>0</v>
      </c>
      <c r="O246" s="61">
        <v>0</v>
      </c>
      <c r="P246" s="61">
        <v>0</v>
      </c>
      <c r="Q246" s="61">
        <v>0</v>
      </c>
      <c r="R246" s="61">
        <v>0</v>
      </c>
      <c r="S246" s="61">
        <v>0</v>
      </c>
      <c r="T246" s="61">
        <v>0</v>
      </c>
      <c r="U246" s="61">
        <v>0</v>
      </c>
      <c r="V246" s="61">
        <v>0</v>
      </c>
      <c r="W246" s="61">
        <v>0</v>
      </c>
      <c r="X246" s="61">
        <v>0</v>
      </c>
      <c r="Y246" s="61">
        <v>0</v>
      </c>
      <c r="AA246" s="61">
        <v>0</v>
      </c>
      <c r="AB246" s="60">
        <v>0</v>
      </c>
      <c r="AD246" s="61">
        <v>0</v>
      </c>
      <c r="AE246" s="60">
        <v>0</v>
      </c>
    </row>
    <row r="247" spans="1:31" ht="18" hidden="1" customHeight="1" outlineLevel="1" x14ac:dyDescent="0.2">
      <c r="A247" s="30" t="s">
        <v>140</v>
      </c>
      <c r="B247" s="30" t="s">
        <v>22</v>
      </c>
      <c r="C247" s="4">
        <v>0</v>
      </c>
      <c r="D247" s="4">
        <v>0</v>
      </c>
      <c r="F247" s="106" t="s">
        <v>141</v>
      </c>
      <c r="H247" s="61">
        <v>0</v>
      </c>
      <c r="I247" s="61">
        <v>0</v>
      </c>
      <c r="J247" s="61">
        <v>0</v>
      </c>
      <c r="K247" s="86">
        <v>0</v>
      </c>
      <c r="L247" s="86">
        <v>0</v>
      </c>
      <c r="M247" s="61">
        <v>0</v>
      </c>
      <c r="N247" s="61">
        <v>0</v>
      </c>
      <c r="O247" s="61">
        <v>0</v>
      </c>
      <c r="P247" s="61">
        <v>0</v>
      </c>
      <c r="Q247" s="61">
        <v>0</v>
      </c>
      <c r="R247" s="61">
        <v>0</v>
      </c>
      <c r="S247" s="61">
        <v>0</v>
      </c>
      <c r="T247" s="61">
        <v>0</v>
      </c>
      <c r="U247" s="61">
        <v>0</v>
      </c>
      <c r="V247" s="61">
        <v>0</v>
      </c>
      <c r="W247" s="61">
        <v>0</v>
      </c>
      <c r="X247" s="61">
        <v>0</v>
      </c>
      <c r="Y247" s="61">
        <v>0</v>
      </c>
      <c r="AA247" s="61">
        <v>0</v>
      </c>
      <c r="AB247" s="60">
        <v>0</v>
      </c>
      <c r="AD247" s="61">
        <v>0</v>
      </c>
      <c r="AE247" s="60">
        <v>0</v>
      </c>
    </row>
    <row r="248" spans="1:31" ht="18" hidden="1" customHeight="1" outlineLevel="1" x14ac:dyDescent="0.2">
      <c r="A248" s="30" t="s">
        <v>123</v>
      </c>
      <c r="B248" s="30" t="s">
        <v>22</v>
      </c>
      <c r="C248" s="4">
        <v>0</v>
      </c>
      <c r="D248" s="4">
        <v>0</v>
      </c>
      <c r="F248" s="106" t="s">
        <v>142</v>
      </c>
      <c r="H248" s="61">
        <v>0</v>
      </c>
      <c r="I248" s="61">
        <v>0</v>
      </c>
      <c r="J248" s="61">
        <v>0</v>
      </c>
      <c r="K248" s="86">
        <v>0</v>
      </c>
      <c r="L248" s="86">
        <v>0</v>
      </c>
      <c r="M248" s="61">
        <v>0</v>
      </c>
      <c r="N248" s="61">
        <v>0</v>
      </c>
      <c r="O248" s="61">
        <v>0</v>
      </c>
      <c r="P248" s="61">
        <v>0</v>
      </c>
      <c r="Q248" s="61">
        <v>0</v>
      </c>
      <c r="R248" s="61">
        <v>0</v>
      </c>
      <c r="S248" s="61">
        <v>0</v>
      </c>
      <c r="T248" s="61">
        <v>0</v>
      </c>
      <c r="U248" s="61">
        <v>0</v>
      </c>
      <c r="V248" s="61">
        <v>0</v>
      </c>
      <c r="W248" s="61">
        <v>0</v>
      </c>
      <c r="X248" s="61">
        <v>0</v>
      </c>
      <c r="Y248" s="61">
        <v>0</v>
      </c>
      <c r="AA248" s="61">
        <v>0</v>
      </c>
      <c r="AB248" s="60">
        <v>0</v>
      </c>
      <c r="AD248" s="61">
        <v>0</v>
      </c>
      <c r="AE248" s="60">
        <v>0</v>
      </c>
    </row>
    <row r="249" spans="1:31" ht="18" hidden="1" customHeight="1" outlineLevel="1" x14ac:dyDescent="0.2">
      <c r="A249" s="30" t="s">
        <v>124</v>
      </c>
      <c r="B249" s="30" t="s">
        <v>22</v>
      </c>
      <c r="C249" s="4">
        <v>0</v>
      </c>
      <c r="D249" s="4">
        <v>0</v>
      </c>
      <c r="F249" s="106" t="s">
        <v>143</v>
      </c>
      <c r="H249" s="61">
        <v>0</v>
      </c>
      <c r="I249" s="61">
        <v>0</v>
      </c>
      <c r="J249" s="61">
        <v>0</v>
      </c>
      <c r="K249" s="86">
        <v>0</v>
      </c>
      <c r="L249" s="86">
        <v>0</v>
      </c>
      <c r="M249" s="61">
        <v>0</v>
      </c>
      <c r="N249" s="61">
        <v>0</v>
      </c>
      <c r="O249" s="61">
        <v>0</v>
      </c>
      <c r="P249" s="61">
        <v>0</v>
      </c>
      <c r="Q249" s="61">
        <v>0</v>
      </c>
      <c r="R249" s="61">
        <v>0</v>
      </c>
      <c r="S249" s="61">
        <v>0</v>
      </c>
      <c r="T249" s="61">
        <v>0</v>
      </c>
      <c r="U249" s="61">
        <v>0</v>
      </c>
      <c r="V249" s="61">
        <v>0</v>
      </c>
      <c r="W249" s="61">
        <v>0</v>
      </c>
      <c r="X249" s="61">
        <v>0</v>
      </c>
      <c r="Y249" s="61">
        <v>0</v>
      </c>
      <c r="AA249" s="61">
        <v>0</v>
      </c>
      <c r="AB249" s="60">
        <v>0</v>
      </c>
      <c r="AD249" s="61">
        <v>0</v>
      </c>
      <c r="AE249" s="60">
        <v>0</v>
      </c>
    </row>
    <row r="250" spans="1:31" ht="18" hidden="1" customHeight="1" outlineLevel="1" x14ac:dyDescent="0.2">
      <c r="A250" s="30" t="s">
        <v>204</v>
      </c>
      <c r="B250" s="30" t="s">
        <v>22</v>
      </c>
      <c r="C250" s="4">
        <v>0</v>
      </c>
      <c r="D250" s="4">
        <v>0</v>
      </c>
      <c r="F250" s="104" t="s">
        <v>139</v>
      </c>
      <c r="G250" s="36"/>
      <c r="H250" s="65">
        <v>1.5049999999999999</v>
      </c>
      <c r="I250" s="65">
        <v>-0.17</v>
      </c>
      <c r="J250" s="65">
        <v>-0.17</v>
      </c>
      <c r="K250" s="90">
        <v>0</v>
      </c>
      <c r="L250" s="90">
        <v>0</v>
      </c>
      <c r="M250" s="65">
        <v>0</v>
      </c>
      <c r="N250" s="65">
        <v>0</v>
      </c>
      <c r="O250" s="65">
        <v>0</v>
      </c>
      <c r="P250" s="65">
        <v>0</v>
      </c>
      <c r="Q250" s="65">
        <v>0</v>
      </c>
      <c r="R250" s="65">
        <v>0</v>
      </c>
      <c r="S250" s="65">
        <v>0</v>
      </c>
      <c r="T250" s="65">
        <v>0</v>
      </c>
      <c r="U250" s="65">
        <v>0</v>
      </c>
      <c r="V250" s="65">
        <v>0</v>
      </c>
      <c r="W250" s="65">
        <v>0</v>
      </c>
      <c r="X250" s="65">
        <v>0</v>
      </c>
      <c r="Y250" s="65">
        <v>0</v>
      </c>
      <c r="Z250" s="36"/>
      <c r="AA250" s="65">
        <v>0</v>
      </c>
      <c r="AB250" s="60">
        <v>0</v>
      </c>
      <c r="AC250" s="36"/>
      <c r="AD250" s="65">
        <v>0</v>
      </c>
      <c r="AE250" s="60">
        <v>0</v>
      </c>
    </row>
    <row r="251" spans="1:31" ht="18" hidden="1" customHeight="1" outlineLevel="1" x14ac:dyDescent="0.2">
      <c r="A251" s="30" t="s">
        <v>82</v>
      </c>
      <c r="B251" s="30" t="s">
        <v>22</v>
      </c>
      <c r="C251" s="4">
        <v>-0.3</v>
      </c>
      <c r="D251" s="4">
        <v>0</v>
      </c>
      <c r="F251" s="106" t="s">
        <v>86</v>
      </c>
      <c r="H251" s="61">
        <v>-1.7250000000000001</v>
      </c>
      <c r="I251" s="61">
        <v>1.276</v>
      </c>
      <c r="J251" s="61">
        <v>1.276</v>
      </c>
      <c r="K251" s="86">
        <v>-1</v>
      </c>
      <c r="L251" s="86">
        <v>-1.3</v>
      </c>
      <c r="M251" s="61">
        <v>-0.20799999999999999</v>
      </c>
      <c r="N251" s="61">
        <v>-0.14399999999999999</v>
      </c>
      <c r="O251" s="61">
        <v>-0.94899999999999995</v>
      </c>
      <c r="P251" s="61">
        <v>0</v>
      </c>
      <c r="Q251" s="61">
        <v>0</v>
      </c>
      <c r="R251" s="61">
        <v>0</v>
      </c>
      <c r="S251" s="61">
        <v>0</v>
      </c>
      <c r="T251" s="61">
        <v>0</v>
      </c>
      <c r="U251" s="61">
        <v>0</v>
      </c>
      <c r="V251" s="61">
        <v>0</v>
      </c>
      <c r="W251" s="61">
        <v>0</v>
      </c>
      <c r="X251" s="61">
        <v>0</v>
      </c>
      <c r="Y251" s="61">
        <v>-1.3009999999999999</v>
      </c>
      <c r="AA251" s="61">
        <v>-1</v>
      </c>
      <c r="AB251" s="60">
        <v>-0.3</v>
      </c>
      <c r="AD251" s="61">
        <v>-1.3</v>
      </c>
      <c r="AE251" s="60">
        <v>0</v>
      </c>
    </row>
    <row r="252" spans="1:31" ht="18" hidden="1" customHeight="1" outlineLevel="1" x14ac:dyDescent="0.2">
      <c r="A252" s="30" t="s">
        <v>144</v>
      </c>
      <c r="B252" s="30" t="s">
        <v>22</v>
      </c>
      <c r="C252" s="4">
        <v>0</v>
      </c>
      <c r="D252" s="4">
        <v>0</v>
      </c>
      <c r="F252" s="106" t="s">
        <v>145</v>
      </c>
      <c r="H252" s="61">
        <v>0</v>
      </c>
      <c r="I252" s="61">
        <v>0</v>
      </c>
      <c r="J252" s="61">
        <v>0</v>
      </c>
      <c r="K252" s="86">
        <v>0</v>
      </c>
      <c r="L252" s="86">
        <v>0</v>
      </c>
      <c r="M252" s="61">
        <v>0</v>
      </c>
      <c r="N252" s="61">
        <v>0</v>
      </c>
      <c r="O252" s="61">
        <v>0</v>
      </c>
      <c r="P252" s="61">
        <v>0</v>
      </c>
      <c r="Q252" s="61">
        <v>0</v>
      </c>
      <c r="R252" s="61">
        <v>0</v>
      </c>
      <c r="S252" s="61">
        <v>0</v>
      </c>
      <c r="T252" s="61">
        <v>0</v>
      </c>
      <c r="U252" s="61">
        <v>0</v>
      </c>
      <c r="V252" s="61">
        <v>0</v>
      </c>
      <c r="W252" s="61">
        <v>0</v>
      </c>
      <c r="X252" s="61">
        <v>0</v>
      </c>
      <c r="Y252" s="61">
        <v>0</v>
      </c>
      <c r="AA252" s="61">
        <v>0</v>
      </c>
      <c r="AB252" s="60">
        <v>0</v>
      </c>
      <c r="AD252" s="61">
        <v>0</v>
      </c>
      <c r="AE252" s="60">
        <v>0</v>
      </c>
    </row>
    <row r="253" spans="1:31" ht="18" customHeight="1" collapsed="1" x14ac:dyDescent="0.2">
      <c r="A253" s="35"/>
      <c r="B253" s="35"/>
      <c r="C253" s="4">
        <v>6.8000000000000005E-2</v>
      </c>
      <c r="D253" s="4">
        <v>0.11988071570576543</v>
      </c>
      <c r="F253" s="95" t="s">
        <v>276</v>
      </c>
      <c r="H253" s="64">
        <v>-46.082999999999998</v>
      </c>
      <c r="I253" s="64">
        <v>-50.741</v>
      </c>
      <c r="J253" s="64">
        <v>-50.741</v>
      </c>
      <c r="K253" s="89">
        <v>-47.5</v>
      </c>
      <c r="L253" s="89">
        <v>-50.3</v>
      </c>
      <c r="M253" s="64">
        <v>-3.5110000000000001</v>
      </c>
      <c r="N253" s="64">
        <v>-1.1759999999999999</v>
      </c>
      <c r="O253" s="64">
        <v>-2.7379999999999995</v>
      </c>
      <c r="P253" s="64">
        <v>-1.9029999999999996</v>
      </c>
      <c r="Q253" s="64">
        <v>-0.8360000000000003</v>
      </c>
      <c r="R253" s="64">
        <v>-2.463000000000001</v>
      </c>
      <c r="S253" s="64">
        <v>-1.5109999999999992</v>
      </c>
      <c r="T253" s="64">
        <v>-4.2630000000000017</v>
      </c>
      <c r="U253" s="64">
        <v>-6.9909999999999997</v>
      </c>
      <c r="V253" s="64">
        <v>-8.6589999999999989</v>
      </c>
      <c r="W253" s="64">
        <v>-4.8320000000000007</v>
      </c>
      <c r="X253" s="64">
        <v>-5.3900000000000006</v>
      </c>
      <c r="Y253" s="64">
        <v>-44.273000000000003</v>
      </c>
      <c r="AA253" s="64">
        <v>-47.5</v>
      </c>
      <c r="AB253" s="60">
        <v>3.23</v>
      </c>
      <c r="AD253" s="64">
        <v>-50.29999999999999</v>
      </c>
      <c r="AE253" s="60">
        <v>6.03</v>
      </c>
    </row>
    <row r="254" spans="1:31" ht="12.95" customHeight="1" x14ac:dyDescent="0.2">
      <c r="A254" s="35"/>
      <c r="B254" s="35"/>
      <c r="C254" s="4"/>
      <c r="D254" s="4"/>
      <c r="F254" s="39" t="s">
        <v>223</v>
      </c>
      <c r="H254" s="56">
        <v>2.7097984236444622E-3</v>
      </c>
      <c r="I254" s="56">
        <v>2.8871049832304837E-3</v>
      </c>
      <c r="J254" s="56">
        <v>2.8871049832304837E-3</v>
      </c>
      <c r="K254" s="109">
        <v>2.7368161229467682E-3</v>
      </c>
      <c r="L254" s="109">
        <v>2.7937294049239728E-3</v>
      </c>
      <c r="M254" s="56">
        <v>2.5341964951434517E-3</v>
      </c>
      <c r="N254" s="56">
        <v>8.5534426515672217E-4</v>
      </c>
      <c r="O254" s="56">
        <v>1.9195903378282689E-3</v>
      </c>
      <c r="P254" s="56">
        <v>1.244799706952039E-3</v>
      </c>
      <c r="Q254" s="56">
        <v>5.1291647621472573E-4</v>
      </c>
      <c r="R254" s="56">
        <v>1.5713660485407301E-3</v>
      </c>
      <c r="S254" s="56">
        <v>1.03184445439944E-3</v>
      </c>
      <c r="T254" s="56">
        <v>2.8139969780722109E-3</v>
      </c>
      <c r="U254" s="56">
        <v>4.6111673225152378E-3</v>
      </c>
      <c r="V254" s="56">
        <v>5.4959178893745804E-3</v>
      </c>
      <c r="W254" s="56">
        <v>3.0547303751590742E-3</v>
      </c>
      <c r="X254" s="56">
        <v>3.3264007603201733E-3</v>
      </c>
      <c r="Y254" s="56">
        <v>2.4344724778083207E-3</v>
      </c>
      <c r="AA254" s="56">
        <v>2.7368161229467682E-3</v>
      </c>
      <c r="AB254" s="57"/>
      <c r="AD254" s="56">
        <v>2.7937294049239724E-3</v>
      </c>
      <c r="AE254" s="57"/>
    </row>
    <row r="255" spans="1:31" ht="6.95" customHeight="1" x14ac:dyDescent="0.2">
      <c r="C255" s="4"/>
      <c r="D255" s="4"/>
      <c r="F255" s="96"/>
      <c r="H255" s="53"/>
      <c r="I255" s="53"/>
      <c r="J255" s="53"/>
      <c r="K255" s="115"/>
      <c r="L255" s="115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AA255" s="53"/>
      <c r="AD255" s="53"/>
    </row>
    <row r="256" spans="1:31" ht="18" customHeight="1" x14ac:dyDescent="0.2">
      <c r="A256" s="30" t="s">
        <v>73</v>
      </c>
      <c r="B256" s="30" t="s">
        <v>22</v>
      </c>
      <c r="C256" s="4">
        <v>0.25525000000000003</v>
      </c>
      <c r="D256" s="4">
        <v>0.14885714285714285</v>
      </c>
      <c r="F256" s="106" t="s">
        <v>72</v>
      </c>
      <c r="H256" s="61">
        <v>-25.925000000000001</v>
      </c>
      <c r="I256" s="61">
        <v>-30.71</v>
      </c>
      <c r="J256" s="61">
        <v>-30.71</v>
      </c>
      <c r="K256" s="86">
        <v>-40</v>
      </c>
      <c r="L256" s="86">
        <v>-35</v>
      </c>
      <c r="M256" s="61">
        <v>-6.2679999999999998</v>
      </c>
      <c r="N256" s="61">
        <v>-5.085</v>
      </c>
      <c r="O256" s="61">
        <v>-4.2149999999999999</v>
      </c>
      <c r="P256" s="61">
        <v>-3.2419999999999991</v>
      </c>
      <c r="Q256" s="61">
        <v>-2.549000000000003</v>
      </c>
      <c r="R256" s="61">
        <v>-1.9479999999999968</v>
      </c>
      <c r="S256" s="61">
        <v>-1.8030000000000008</v>
      </c>
      <c r="T256" s="61">
        <v>1.1859999999999999</v>
      </c>
      <c r="U256" s="61">
        <v>-0.82700000000000173</v>
      </c>
      <c r="V256" s="61">
        <v>-1.0960000000000001</v>
      </c>
      <c r="W256" s="61">
        <v>-2.139999999999997</v>
      </c>
      <c r="X256" s="61">
        <v>-1.804000000000002</v>
      </c>
      <c r="Y256" s="61">
        <v>-29.791</v>
      </c>
      <c r="AA256" s="61">
        <v>-40</v>
      </c>
      <c r="AB256" s="60">
        <v>10.210000000000001</v>
      </c>
      <c r="AD256" s="61">
        <v>-35</v>
      </c>
      <c r="AE256" s="60">
        <v>5.21</v>
      </c>
    </row>
    <row r="257" spans="1:31" ht="18" customHeight="1" x14ac:dyDescent="0.2">
      <c r="A257" s="30" t="s">
        <v>129</v>
      </c>
      <c r="B257" s="30" t="s">
        <v>22</v>
      </c>
      <c r="C257" s="4">
        <v>0.18</v>
      </c>
      <c r="D257" s="4">
        <v>-9.3333333333333338E-2</v>
      </c>
      <c r="F257" s="106" t="s">
        <v>190</v>
      </c>
      <c r="H257" s="61">
        <v>-15.122999999999999</v>
      </c>
      <c r="I257" s="61">
        <v>-24.396000000000001</v>
      </c>
      <c r="J257" s="61">
        <v>-24.396000000000001</v>
      </c>
      <c r="K257" s="86">
        <v>-28</v>
      </c>
      <c r="L257" s="86">
        <v>-21</v>
      </c>
      <c r="M257" s="61">
        <v>-3.1909999999999998</v>
      </c>
      <c r="N257" s="61">
        <v>-1.8600000000000003</v>
      </c>
      <c r="O257" s="61">
        <v>-1.5869999999999997</v>
      </c>
      <c r="P257" s="61">
        <v>-2.697000000000001</v>
      </c>
      <c r="Q257" s="61">
        <v>-1.7169999999999987</v>
      </c>
      <c r="R257" s="61">
        <v>-0.4009999999999998</v>
      </c>
      <c r="S257" s="61">
        <v>-1.1370000000000005</v>
      </c>
      <c r="T257" s="61">
        <v>-2.08</v>
      </c>
      <c r="U257" s="61">
        <v>-1.0030000000000001</v>
      </c>
      <c r="V257" s="61">
        <v>-2.0929999999999982</v>
      </c>
      <c r="W257" s="61">
        <v>-2.7290000000000028</v>
      </c>
      <c r="X257" s="61">
        <v>-2.4669999999999987</v>
      </c>
      <c r="Y257" s="61">
        <v>-22.962</v>
      </c>
      <c r="AA257" s="61">
        <v>-28</v>
      </c>
      <c r="AB257" s="60">
        <v>5.04</v>
      </c>
      <c r="AD257" s="61">
        <v>-21</v>
      </c>
      <c r="AE257" s="60">
        <v>-1.96</v>
      </c>
    </row>
    <row r="258" spans="1:31" ht="18" customHeight="1" x14ac:dyDescent="0.2">
      <c r="A258" s="30" t="s">
        <v>78</v>
      </c>
      <c r="B258" s="30" t="s">
        <v>22</v>
      </c>
      <c r="C258" s="4">
        <v>-2.0999999999999998E-2</v>
      </c>
      <c r="D258" s="4">
        <v>0.12735042735042737</v>
      </c>
      <c r="F258" s="106" t="s">
        <v>77</v>
      </c>
      <c r="H258" s="61">
        <v>-8.1470000000000002</v>
      </c>
      <c r="I258" s="61">
        <v>-6.6319999999999997</v>
      </c>
      <c r="J258" s="61">
        <v>-6.6319999999999997</v>
      </c>
      <c r="K258" s="86">
        <v>-10</v>
      </c>
      <c r="L258" s="86">
        <v>-11.7</v>
      </c>
      <c r="M258" s="61">
        <v>-0.435</v>
      </c>
      <c r="N258" s="61">
        <v>-0.33900000000000002</v>
      </c>
      <c r="O258" s="61">
        <v>-2.9380000000000002</v>
      </c>
      <c r="P258" s="61">
        <v>-0.51500000000000012</v>
      </c>
      <c r="Q258" s="61">
        <v>-3.4459999999999997</v>
      </c>
      <c r="R258" s="61">
        <v>-0.35699999999999932</v>
      </c>
      <c r="S258" s="61">
        <v>-0.28500000000000014</v>
      </c>
      <c r="T258" s="61">
        <v>-0.34800000000000075</v>
      </c>
      <c r="U258" s="61">
        <v>-0.49799999999999933</v>
      </c>
      <c r="V258" s="61">
        <v>-0.26600000000000001</v>
      </c>
      <c r="W258" s="61">
        <v>-0.41000000000000014</v>
      </c>
      <c r="X258" s="61">
        <v>-0.37599999999999945</v>
      </c>
      <c r="Y258" s="61">
        <v>-10.212999999999999</v>
      </c>
      <c r="AA258" s="61">
        <v>-10</v>
      </c>
      <c r="AB258" s="60">
        <v>-0.21</v>
      </c>
      <c r="AD258" s="61">
        <v>-11.699999999999998</v>
      </c>
      <c r="AE258" s="60">
        <v>1.49</v>
      </c>
    </row>
    <row r="259" spans="1:31" ht="18" customHeight="1" x14ac:dyDescent="0.2">
      <c r="A259" s="30" t="s">
        <v>75</v>
      </c>
      <c r="B259" s="30" t="s">
        <v>22</v>
      </c>
      <c r="C259" s="4">
        <v>0.10199999999999999</v>
      </c>
      <c r="D259" s="4">
        <v>-1.3870967741935483E-2</v>
      </c>
      <c r="F259" s="106" t="s">
        <v>76</v>
      </c>
      <c r="H259" s="61">
        <v>-38.832999999999998</v>
      </c>
      <c r="I259" s="61">
        <v>-27.236000000000001</v>
      </c>
      <c r="J259" s="61">
        <v>-27.236000000000001</v>
      </c>
      <c r="K259" s="86">
        <v>-35</v>
      </c>
      <c r="L259" s="86">
        <v>-31</v>
      </c>
      <c r="M259" s="61">
        <v>-3.0449999999999999</v>
      </c>
      <c r="N259" s="61">
        <v>-2.4510000000000005</v>
      </c>
      <c r="O259" s="61">
        <v>-2.2629999999999999</v>
      </c>
      <c r="P259" s="61">
        <v>-2.7850000000000001</v>
      </c>
      <c r="Q259" s="61">
        <v>-2.6109999999999989</v>
      </c>
      <c r="R259" s="61">
        <v>0.77999999999999936</v>
      </c>
      <c r="S259" s="61">
        <v>-4.5169999999999995</v>
      </c>
      <c r="T259" s="61">
        <v>-3.3309999999999995</v>
      </c>
      <c r="U259" s="61">
        <v>-2.6709999999999994</v>
      </c>
      <c r="V259" s="61">
        <v>-2.8340000000000032</v>
      </c>
      <c r="W259" s="61">
        <v>-2.343</v>
      </c>
      <c r="X259" s="61">
        <v>-3.3599999999999994</v>
      </c>
      <c r="Y259" s="61">
        <v>-31.431000000000001</v>
      </c>
      <c r="AA259" s="61">
        <v>-35</v>
      </c>
      <c r="AB259" s="60">
        <v>3.57</v>
      </c>
      <c r="AD259" s="61">
        <v>-31</v>
      </c>
      <c r="AE259" s="60">
        <v>-0.43</v>
      </c>
    </row>
    <row r="260" spans="1:31" ht="18" customHeight="1" x14ac:dyDescent="0.2">
      <c r="A260" s="30" t="s">
        <v>181</v>
      </c>
      <c r="B260" s="30" t="s">
        <v>22</v>
      </c>
      <c r="C260" s="4">
        <v>-9.6265822784810134E-2</v>
      </c>
      <c r="D260" s="4">
        <v>2.2465437788018435E-3</v>
      </c>
      <c r="F260" s="106" t="s">
        <v>182</v>
      </c>
      <c r="H260" s="61">
        <v>-151.94800000000001</v>
      </c>
      <c r="I260" s="61">
        <v>-168.75299999999999</v>
      </c>
      <c r="J260" s="61">
        <v>-168.75299999999999</v>
      </c>
      <c r="K260" s="86">
        <v>-158</v>
      </c>
      <c r="L260" s="86">
        <v>-173.6</v>
      </c>
      <c r="M260" s="61">
        <v>-14.012</v>
      </c>
      <c r="N260" s="61">
        <v>-12.655000000000001</v>
      </c>
      <c r="O260" s="61">
        <v>-14.012</v>
      </c>
      <c r="P260" s="61">
        <v>-13.461999999999996</v>
      </c>
      <c r="Q260" s="61">
        <v>-13.755000000000003</v>
      </c>
      <c r="R260" s="61">
        <v>-13.462000000000003</v>
      </c>
      <c r="S260" s="61">
        <v>-13.923000000000002</v>
      </c>
      <c r="T260" s="61">
        <v>-17.958999999999989</v>
      </c>
      <c r="U260" s="61">
        <v>-15.959999999999994</v>
      </c>
      <c r="V260" s="61">
        <v>-14.669000000000011</v>
      </c>
      <c r="W260" s="61">
        <v>-14.510999999999996</v>
      </c>
      <c r="X260" s="61">
        <v>-14.829000000000008</v>
      </c>
      <c r="Y260" s="61">
        <v>-173.209</v>
      </c>
      <c r="AA260" s="61">
        <v>-158</v>
      </c>
      <c r="AB260" s="60">
        <v>-15.21</v>
      </c>
      <c r="AD260" s="61">
        <v>-173.6</v>
      </c>
      <c r="AE260" s="60">
        <v>0.39</v>
      </c>
    </row>
    <row r="261" spans="1:31" ht="18" customHeight="1" x14ac:dyDescent="0.2">
      <c r="A261" s="30" t="s">
        <v>90</v>
      </c>
      <c r="B261" s="30" t="s">
        <v>22</v>
      </c>
      <c r="C261" s="4">
        <v>0.10134328358208955</v>
      </c>
      <c r="D261" s="4">
        <v>-1.1932773109243696E-2</v>
      </c>
      <c r="F261" s="106" t="s">
        <v>95</v>
      </c>
      <c r="H261" s="61">
        <v>-77.921000000000006</v>
      </c>
      <c r="I261" s="61">
        <v>-58.067</v>
      </c>
      <c r="J261" s="61">
        <v>-58.067</v>
      </c>
      <c r="K261" s="86">
        <v>-67</v>
      </c>
      <c r="L261" s="86">
        <v>-59.5</v>
      </c>
      <c r="M261" s="61">
        <v>-4.7880000000000003</v>
      </c>
      <c r="N261" s="61">
        <v>-4.0510000000000002</v>
      </c>
      <c r="O261" s="61">
        <v>-5.718</v>
      </c>
      <c r="P261" s="61">
        <v>-4.9870000000000001</v>
      </c>
      <c r="Q261" s="61">
        <v>-5.0609999999999999</v>
      </c>
      <c r="R261" s="61">
        <v>-4.5180000000000007</v>
      </c>
      <c r="S261" s="61">
        <v>-3.4079999999999977</v>
      </c>
      <c r="T261" s="61">
        <v>-8.0020000000000024</v>
      </c>
      <c r="U261" s="61">
        <v>-4.7860000000000014</v>
      </c>
      <c r="V261" s="61">
        <v>-4.8339999999999961</v>
      </c>
      <c r="W261" s="61">
        <v>0.72800000000000153</v>
      </c>
      <c r="X261" s="61">
        <v>-10.788000000000004</v>
      </c>
      <c r="Y261" s="61">
        <v>-60.213000000000001</v>
      </c>
      <c r="AA261" s="61">
        <v>-67</v>
      </c>
      <c r="AB261" s="60">
        <v>6.79</v>
      </c>
      <c r="AD261" s="61">
        <v>-59.5</v>
      </c>
      <c r="AE261" s="60">
        <v>-0.71</v>
      </c>
    </row>
    <row r="262" spans="1:31" ht="18" customHeight="1" x14ac:dyDescent="0.2">
      <c r="A262" s="30" t="s">
        <v>91</v>
      </c>
      <c r="B262" s="30" t="s">
        <v>22</v>
      </c>
      <c r="C262" s="4">
        <v>-2.5000000000000001E-2</v>
      </c>
      <c r="D262" s="4">
        <v>-0.3666666666666667</v>
      </c>
      <c r="F262" s="106" t="s">
        <v>96</v>
      </c>
      <c r="H262" s="61">
        <v>-4.3600000000000003</v>
      </c>
      <c r="I262" s="61">
        <v>-6.8339999999999996</v>
      </c>
      <c r="J262" s="61">
        <v>-6.8339999999999996</v>
      </c>
      <c r="K262" s="86">
        <v>-8</v>
      </c>
      <c r="L262" s="86">
        <v>-6</v>
      </c>
      <c r="M262" s="61">
        <v>-0.59799999999999998</v>
      </c>
      <c r="N262" s="61">
        <v>-0.755</v>
      </c>
      <c r="O262" s="61">
        <v>-0.623</v>
      </c>
      <c r="P262" s="61">
        <v>-8.7000000000000188E-2</v>
      </c>
      <c r="Q262" s="61">
        <v>-0.64599999999999991</v>
      </c>
      <c r="R262" s="61">
        <v>-0.18999999999999995</v>
      </c>
      <c r="S262" s="61">
        <v>-0.23099999999999987</v>
      </c>
      <c r="T262" s="61">
        <v>-1.0339999999999998</v>
      </c>
      <c r="U262" s="61">
        <v>-0.44100000000000072</v>
      </c>
      <c r="V262" s="61">
        <v>-0.34799999999999986</v>
      </c>
      <c r="W262" s="61">
        <v>-1.1859999999999999</v>
      </c>
      <c r="X262" s="61">
        <v>-2.0629999999999997</v>
      </c>
      <c r="Y262" s="61">
        <v>-8.202</v>
      </c>
      <c r="AA262" s="61">
        <v>-8</v>
      </c>
      <c r="AB262" s="60">
        <v>-0.2</v>
      </c>
      <c r="AD262" s="61">
        <v>-6</v>
      </c>
      <c r="AE262" s="60">
        <v>-2.2000000000000002</v>
      </c>
    </row>
    <row r="263" spans="1:31" ht="18" customHeight="1" x14ac:dyDescent="0.2">
      <c r="A263" s="30" t="s">
        <v>74</v>
      </c>
      <c r="B263" s="30" t="s">
        <v>22</v>
      </c>
      <c r="C263" s="4">
        <v>-0.12760869565217392</v>
      </c>
      <c r="D263" s="4">
        <v>-3.7400000000000003E-2</v>
      </c>
      <c r="F263" s="106" t="s">
        <v>97</v>
      </c>
      <c r="H263" s="61">
        <v>-45.613999999999997</v>
      </c>
      <c r="I263" s="61">
        <v>-58.332000000000001</v>
      </c>
      <c r="J263" s="61">
        <v>-58.332000000000001</v>
      </c>
      <c r="K263" s="86">
        <v>-46</v>
      </c>
      <c r="L263" s="86">
        <v>-50</v>
      </c>
      <c r="M263" s="61">
        <v>-5.2130000000000001</v>
      </c>
      <c r="N263" s="61">
        <v>-5.7619999999999996</v>
      </c>
      <c r="O263" s="61">
        <v>-0.53299999999999947</v>
      </c>
      <c r="P263" s="61">
        <v>-3.6340000000000003</v>
      </c>
      <c r="Q263" s="61">
        <v>-7.5719999999999992</v>
      </c>
      <c r="R263" s="61">
        <v>-2.1509999999999998</v>
      </c>
      <c r="S263" s="61">
        <v>-3.5950000000000024</v>
      </c>
      <c r="T263" s="61">
        <v>-4.0839999999999961</v>
      </c>
      <c r="U263" s="61">
        <v>-4.7820000000000036</v>
      </c>
      <c r="V263" s="61">
        <v>-4.1379999999999981</v>
      </c>
      <c r="W263" s="61">
        <v>-5.2150000000000034</v>
      </c>
      <c r="X263" s="61">
        <v>-5.1890000000000001</v>
      </c>
      <c r="Y263" s="61">
        <v>-51.868000000000002</v>
      </c>
      <c r="AA263" s="61">
        <v>-46</v>
      </c>
      <c r="AB263" s="60">
        <v>-5.87</v>
      </c>
      <c r="AD263" s="61">
        <v>-50</v>
      </c>
      <c r="AE263" s="60">
        <v>-1.87</v>
      </c>
    </row>
    <row r="264" spans="1:31" s="253" customFormat="1" ht="18" customHeight="1" x14ac:dyDescent="0.2">
      <c r="A264" s="276" t="s">
        <v>447</v>
      </c>
      <c r="B264" s="254" t="s">
        <v>22</v>
      </c>
      <c r="C264" s="252">
        <v>0</v>
      </c>
      <c r="D264" s="252">
        <v>0</v>
      </c>
      <c r="F264" s="267" t="s">
        <v>446</v>
      </c>
      <c r="H264" s="257">
        <v>0</v>
      </c>
      <c r="I264" s="257">
        <v>0</v>
      </c>
      <c r="J264" s="257">
        <v>0</v>
      </c>
      <c r="K264" s="258">
        <v>0</v>
      </c>
      <c r="L264" s="258">
        <v>0</v>
      </c>
      <c r="M264" s="257">
        <v>0</v>
      </c>
      <c r="N264" s="257">
        <v>0</v>
      </c>
      <c r="O264" s="257">
        <v>0</v>
      </c>
      <c r="P264" s="257">
        <v>0</v>
      </c>
      <c r="Q264" s="257">
        <v>0</v>
      </c>
      <c r="R264" s="257">
        <v>0</v>
      </c>
      <c r="S264" s="257">
        <v>0</v>
      </c>
      <c r="T264" s="257">
        <v>0</v>
      </c>
      <c r="U264" s="257">
        <v>0</v>
      </c>
      <c r="V264" s="257">
        <v>0</v>
      </c>
      <c r="W264" s="257">
        <v>0</v>
      </c>
      <c r="X264" s="257">
        <v>0</v>
      </c>
      <c r="Y264" s="257">
        <v>0</v>
      </c>
      <c r="AA264" s="257">
        <v>0</v>
      </c>
      <c r="AB264" s="256">
        <v>0</v>
      </c>
      <c r="AD264" s="257">
        <v>0</v>
      </c>
      <c r="AE264" s="256">
        <v>0</v>
      </c>
    </row>
    <row r="265" spans="1:31" ht="18" customHeight="1" x14ac:dyDescent="0.2">
      <c r="A265" s="30" t="s">
        <v>197</v>
      </c>
      <c r="B265" s="30" t="s">
        <v>22</v>
      </c>
      <c r="C265" s="4">
        <v>0.31571428571428573</v>
      </c>
      <c r="D265" s="4">
        <v>-0.28303571428571433</v>
      </c>
      <c r="F265" s="106" t="s">
        <v>198</v>
      </c>
      <c r="H265" s="61">
        <v>-18.472999999999999</v>
      </c>
      <c r="I265" s="61">
        <v>-16.004999999999999</v>
      </c>
      <c r="J265" s="61">
        <v>-16.004999999999999</v>
      </c>
      <c r="K265" s="86">
        <v>-21</v>
      </c>
      <c r="L265" s="86">
        <v>-11.2</v>
      </c>
      <c r="M265" s="61">
        <v>-1.9570000000000001</v>
      </c>
      <c r="N265" s="61">
        <v>-0.28599999999999981</v>
      </c>
      <c r="O265" s="61">
        <v>-0.28600000000000003</v>
      </c>
      <c r="P265" s="61">
        <v>-0.84400000000000031</v>
      </c>
      <c r="Q265" s="61">
        <v>-0.26999999999999957</v>
      </c>
      <c r="R265" s="61">
        <v>-1.4160000000000004</v>
      </c>
      <c r="S265" s="61">
        <v>-0.5569999999999995</v>
      </c>
      <c r="T265" s="61">
        <v>-0.55700000000000038</v>
      </c>
      <c r="U265" s="61">
        <v>-1.415</v>
      </c>
      <c r="V265" s="61">
        <v>-0.5569999999999995</v>
      </c>
      <c r="W265" s="61">
        <v>-5.7720000000000002</v>
      </c>
      <c r="X265" s="61">
        <v>-0.45500000000000007</v>
      </c>
      <c r="Y265" s="61">
        <v>-14.372</v>
      </c>
      <c r="AA265" s="61">
        <v>-21</v>
      </c>
      <c r="AB265" s="60">
        <v>6.63</v>
      </c>
      <c r="AD265" s="61">
        <v>-11.199999999999998</v>
      </c>
      <c r="AE265" s="60">
        <v>-3.17</v>
      </c>
    </row>
    <row r="266" spans="1:31" ht="18" customHeight="1" x14ac:dyDescent="0.2">
      <c r="A266" s="30" t="s">
        <v>92</v>
      </c>
      <c r="B266" s="30" t="s">
        <v>22</v>
      </c>
      <c r="C266" s="4">
        <v>0.21422388920946339</v>
      </c>
      <c r="D266" s="4">
        <v>0.21422388920946339</v>
      </c>
      <c r="F266" s="106" t="s">
        <v>98</v>
      </c>
      <c r="H266" s="61">
        <v>-15.117000000000001</v>
      </c>
      <c r="I266" s="61">
        <v>-14.368</v>
      </c>
      <c r="J266" s="61">
        <v>-14.368</v>
      </c>
      <c r="K266" s="86">
        <v>-13.864000000000001</v>
      </c>
      <c r="L266" s="86">
        <v>-13.864000000000001</v>
      </c>
      <c r="M266" s="61">
        <v>-0.92200000000000004</v>
      </c>
      <c r="N266" s="61">
        <v>-1.109</v>
      </c>
      <c r="O266" s="61">
        <v>-1.1269999999999998</v>
      </c>
      <c r="P266" s="61">
        <v>-0.97699999999999987</v>
      </c>
      <c r="Q266" s="61">
        <v>-0.94899999999999984</v>
      </c>
      <c r="R266" s="61">
        <v>-0.93900000000000006</v>
      </c>
      <c r="S266" s="61">
        <v>-0.93599999999999994</v>
      </c>
      <c r="T266" s="61">
        <v>-0.93700000000000028</v>
      </c>
      <c r="U266" s="61">
        <v>-0.93700000000000028</v>
      </c>
      <c r="V266" s="61">
        <v>-0.72499999999999964</v>
      </c>
      <c r="W266" s="61">
        <v>-0.66999999999999993</v>
      </c>
      <c r="X266" s="61">
        <v>-0.67099999999999937</v>
      </c>
      <c r="Y266" s="61">
        <v>-10.898999999999999</v>
      </c>
      <c r="AA266" s="61">
        <v>-13.863999999999999</v>
      </c>
      <c r="AB266" s="60">
        <v>2.97</v>
      </c>
      <c r="AD266" s="61">
        <v>-13.863999999999999</v>
      </c>
      <c r="AE266" s="60">
        <v>2.97</v>
      </c>
    </row>
    <row r="267" spans="1:31" ht="18" hidden="1" customHeight="1" outlineLevel="1" x14ac:dyDescent="0.2">
      <c r="A267" s="30" t="s">
        <v>172</v>
      </c>
      <c r="B267" s="30" t="s">
        <v>22</v>
      </c>
      <c r="C267" s="4">
        <v>0</v>
      </c>
      <c r="D267" s="4">
        <v>0</v>
      </c>
      <c r="F267" s="38" t="s">
        <v>173</v>
      </c>
      <c r="G267" s="34"/>
      <c r="H267" s="66">
        <v>0</v>
      </c>
      <c r="I267" s="66">
        <v>0</v>
      </c>
      <c r="J267" s="66">
        <v>0</v>
      </c>
      <c r="K267" s="86">
        <v>0</v>
      </c>
      <c r="L267" s="86">
        <v>0</v>
      </c>
      <c r="M267" s="66">
        <v>0</v>
      </c>
      <c r="N267" s="66">
        <v>0</v>
      </c>
      <c r="O267" s="66">
        <v>0</v>
      </c>
      <c r="P267" s="66">
        <v>0</v>
      </c>
      <c r="Q267" s="66">
        <v>0</v>
      </c>
      <c r="R267" s="66">
        <v>0</v>
      </c>
      <c r="S267" s="66">
        <v>0</v>
      </c>
      <c r="T267" s="66">
        <v>0</v>
      </c>
      <c r="U267" s="66">
        <v>0</v>
      </c>
      <c r="V267" s="66">
        <v>0</v>
      </c>
      <c r="W267" s="66">
        <v>0</v>
      </c>
      <c r="X267" s="66">
        <v>0</v>
      </c>
      <c r="Y267" s="66">
        <v>0</v>
      </c>
      <c r="Z267" s="34"/>
      <c r="AA267" s="66">
        <v>0</v>
      </c>
      <c r="AB267" s="60">
        <v>0</v>
      </c>
      <c r="AC267" s="34"/>
      <c r="AD267" s="66">
        <v>0</v>
      </c>
      <c r="AE267" s="60">
        <v>0</v>
      </c>
    </row>
    <row r="268" spans="1:31" ht="18" hidden="1" customHeight="1" outlineLevel="1" x14ac:dyDescent="0.2">
      <c r="A268" s="30" t="s">
        <v>88</v>
      </c>
      <c r="B268" s="30" t="s">
        <v>22</v>
      </c>
      <c r="C268" s="4">
        <v>0</v>
      </c>
      <c r="D268" s="4">
        <v>0</v>
      </c>
      <c r="F268" s="38" t="s">
        <v>93</v>
      </c>
      <c r="G268" s="34"/>
      <c r="H268" s="66">
        <v>0</v>
      </c>
      <c r="I268" s="66">
        <v>0</v>
      </c>
      <c r="J268" s="66">
        <v>0</v>
      </c>
      <c r="K268" s="86">
        <v>0</v>
      </c>
      <c r="L268" s="86">
        <v>0</v>
      </c>
      <c r="M268" s="66">
        <v>0</v>
      </c>
      <c r="N268" s="66">
        <v>0</v>
      </c>
      <c r="O268" s="66">
        <v>0</v>
      </c>
      <c r="P268" s="66">
        <v>0</v>
      </c>
      <c r="Q268" s="66">
        <v>0</v>
      </c>
      <c r="R268" s="66">
        <v>0</v>
      </c>
      <c r="S268" s="66">
        <v>0</v>
      </c>
      <c r="T268" s="66">
        <v>0</v>
      </c>
      <c r="U268" s="66">
        <v>0</v>
      </c>
      <c r="V268" s="66">
        <v>0</v>
      </c>
      <c r="W268" s="66">
        <v>0</v>
      </c>
      <c r="X268" s="66">
        <v>0</v>
      </c>
      <c r="Y268" s="66">
        <v>0</v>
      </c>
      <c r="Z268" s="34"/>
      <c r="AA268" s="66">
        <v>0</v>
      </c>
      <c r="AB268" s="60">
        <v>0</v>
      </c>
      <c r="AC268" s="34"/>
      <c r="AD268" s="66">
        <v>0</v>
      </c>
      <c r="AE268" s="60">
        <v>0</v>
      </c>
    </row>
    <row r="269" spans="1:31" ht="18" hidden="1" customHeight="1" outlineLevel="1" x14ac:dyDescent="0.2">
      <c r="A269" s="30" t="s">
        <v>174</v>
      </c>
      <c r="B269" s="30" t="s">
        <v>22</v>
      </c>
      <c r="C269" s="4">
        <v>0</v>
      </c>
      <c r="D269" s="4">
        <v>0</v>
      </c>
      <c r="F269" s="38" t="s">
        <v>175</v>
      </c>
      <c r="G269" s="34"/>
      <c r="H269" s="66">
        <v>0</v>
      </c>
      <c r="I269" s="66">
        <v>0</v>
      </c>
      <c r="J269" s="66">
        <v>0</v>
      </c>
      <c r="K269" s="86">
        <v>0</v>
      </c>
      <c r="L269" s="86">
        <v>0</v>
      </c>
      <c r="M269" s="66">
        <v>0</v>
      </c>
      <c r="N269" s="66">
        <v>0</v>
      </c>
      <c r="O269" s="66">
        <v>0</v>
      </c>
      <c r="P269" s="66">
        <v>0</v>
      </c>
      <c r="Q269" s="66">
        <v>0</v>
      </c>
      <c r="R269" s="66">
        <v>0</v>
      </c>
      <c r="S269" s="66">
        <v>0</v>
      </c>
      <c r="T269" s="66">
        <v>0</v>
      </c>
      <c r="U269" s="66">
        <v>0</v>
      </c>
      <c r="V269" s="66">
        <v>0</v>
      </c>
      <c r="W269" s="66">
        <v>0</v>
      </c>
      <c r="X269" s="66">
        <v>0</v>
      </c>
      <c r="Y269" s="66">
        <v>0</v>
      </c>
      <c r="Z269" s="34"/>
      <c r="AA269" s="66">
        <v>0</v>
      </c>
      <c r="AB269" s="60">
        <v>0</v>
      </c>
      <c r="AC269" s="34"/>
      <c r="AD269" s="66">
        <v>0</v>
      </c>
      <c r="AE269" s="60">
        <v>0</v>
      </c>
    </row>
    <row r="270" spans="1:31" ht="18" hidden="1" customHeight="1" outlineLevel="1" x14ac:dyDescent="0.2">
      <c r="A270" s="30" t="s">
        <v>191</v>
      </c>
      <c r="B270" s="30" t="s">
        <v>22</v>
      </c>
      <c r="C270" s="4">
        <v>0</v>
      </c>
      <c r="D270" s="4">
        <v>0</v>
      </c>
      <c r="F270" s="38" t="s">
        <v>192</v>
      </c>
      <c r="G270" s="34"/>
      <c r="H270" s="66">
        <v>0</v>
      </c>
      <c r="I270" s="66">
        <v>0</v>
      </c>
      <c r="J270" s="66">
        <v>0</v>
      </c>
      <c r="K270" s="86">
        <v>0</v>
      </c>
      <c r="L270" s="86">
        <v>0</v>
      </c>
      <c r="M270" s="66">
        <v>0</v>
      </c>
      <c r="N270" s="66">
        <v>0</v>
      </c>
      <c r="O270" s="66">
        <v>0</v>
      </c>
      <c r="P270" s="66">
        <v>0</v>
      </c>
      <c r="Q270" s="66">
        <v>0</v>
      </c>
      <c r="R270" s="66">
        <v>0</v>
      </c>
      <c r="S270" s="66">
        <v>0</v>
      </c>
      <c r="T270" s="66">
        <v>0</v>
      </c>
      <c r="U270" s="66">
        <v>0</v>
      </c>
      <c r="V270" s="66">
        <v>0</v>
      </c>
      <c r="W270" s="66">
        <v>0</v>
      </c>
      <c r="X270" s="66">
        <v>0</v>
      </c>
      <c r="Y270" s="66">
        <v>0</v>
      </c>
      <c r="Z270" s="34"/>
      <c r="AA270" s="66">
        <v>0</v>
      </c>
      <c r="AB270" s="60">
        <v>0</v>
      </c>
      <c r="AC270" s="34"/>
      <c r="AD270" s="66">
        <v>0</v>
      </c>
      <c r="AE270" s="60">
        <v>0</v>
      </c>
    </row>
    <row r="271" spans="1:31" ht="18" hidden="1" customHeight="1" outlineLevel="1" x14ac:dyDescent="0.2">
      <c r="A271" s="30" t="s">
        <v>130</v>
      </c>
      <c r="B271" s="30" t="s">
        <v>22</v>
      </c>
      <c r="C271" s="4">
        <v>0</v>
      </c>
      <c r="D271" s="4">
        <v>0</v>
      </c>
      <c r="F271" s="38" t="s">
        <v>176</v>
      </c>
      <c r="G271" s="34"/>
      <c r="H271" s="66">
        <v>-4.5640000000000001</v>
      </c>
      <c r="I271" s="66">
        <v>-4.1059999999999999</v>
      </c>
      <c r="J271" s="66">
        <v>-4.1059999999999999</v>
      </c>
      <c r="K271" s="86">
        <v>0</v>
      </c>
      <c r="L271" s="86">
        <v>0</v>
      </c>
      <c r="M271" s="66">
        <v>0</v>
      </c>
      <c r="N271" s="66">
        <v>0</v>
      </c>
      <c r="O271" s="66">
        <v>0</v>
      </c>
      <c r="P271" s="66">
        <v>0</v>
      </c>
      <c r="Q271" s="66">
        <v>0</v>
      </c>
      <c r="R271" s="66">
        <v>0</v>
      </c>
      <c r="S271" s="66">
        <v>0</v>
      </c>
      <c r="T271" s="66">
        <v>0</v>
      </c>
      <c r="U271" s="66">
        <v>0</v>
      </c>
      <c r="V271" s="66">
        <v>0</v>
      </c>
      <c r="W271" s="66">
        <v>0</v>
      </c>
      <c r="X271" s="66">
        <v>0</v>
      </c>
      <c r="Y271" s="66">
        <v>0</v>
      </c>
      <c r="Z271" s="34"/>
      <c r="AA271" s="66">
        <v>0</v>
      </c>
      <c r="AB271" s="60">
        <v>0</v>
      </c>
      <c r="AC271" s="34"/>
      <c r="AD271" s="66">
        <v>0</v>
      </c>
      <c r="AE271" s="60">
        <v>0</v>
      </c>
    </row>
    <row r="272" spans="1:31" ht="18" hidden="1" customHeight="1" outlineLevel="1" x14ac:dyDescent="0.2">
      <c r="A272" s="30" t="s">
        <v>177</v>
      </c>
      <c r="B272" s="30" t="s">
        <v>22</v>
      </c>
      <c r="C272" s="4">
        <v>-1</v>
      </c>
      <c r="D272" s="4">
        <v>-0.35000000000000003</v>
      </c>
      <c r="F272" s="38" t="s">
        <v>178</v>
      </c>
      <c r="G272" s="34"/>
      <c r="H272" s="66">
        <v>0</v>
      </c>
      <c r="I272" s="66">
        <v>0</v>
      </c>
      <c r="J272" s="66">
        <v>0</v>
      </c>
      <c r="K272" s="86">
        <v>0</v>
      </c>
      <c r="L272" s="86">
        <v>-3</v>
      </c>
      <c r="M272" s="66">
        <v>0</v>
      </c>
      <c r="N272" s="66">
        <v>0</v>
      </c>
      <c r="O272" s="66">
        <v>0</v>
      </c>
      <c r="P272" s="66">
        <v>0</v>
      </c>
      <c r="Q272" s="66">
        <v>0</v>
      </c>
      <c r="R272" s="66">
        <v>0</v>
      </c>
      <c r="S272" s="66">
        <v>0</v>
      </c>
      <c r="T272" s="66">
        <v>-0.05</v>
      </c>
      <c r="U272" s="66">
        <v>0</v>
      </c>
      <c r="V272" s="66">
        <v>0</v>
      </c>
      <c r="W272" s="66">
        <v>0</v>
      </c>
      <c r="X272" s="66">
        <v>-4</v>
      </c>
      <c r="Y272" s="66">
        <v>-4.05</v>
      </c>
      <c r="Z272" s="34"/>
      <c r="AA272" s="66">
        <v>0</v>
      </c>
      <c r="AB272" s="60">
        <v>-4.05</v>
      </c>
      <c r="AC272" s="34"/>
      <c r="AD272" s="66">
        <v>-3</v>
      </c>
      <c r="AE272" s="60">
        <v>-1.05</v>
      </c>
    </row>
    <row r="273" spans="1:31" ht="18" hidden="1" customHeight="1" outlineLevel="1" x14ac:dyDescent="0.2">
      <c r="A273" s="30" t="s">
        <v>179</v>
      </c>
      <c r="B273" s="30" t="s">
        <v>22</v>
      </c>
      <c r="C273" s="4">
        <v>0</v>
      </c>
      <c r="D273" s="4">
        <v>0</v>
      </c>
      <c r="F273" s="38" t="s">
        <v>180</v>
      </c>
      <c r="G273" s="34"/>
      <c r="H273" s="66">
        <v>0</v>
      </c>
      <c r="I273" s="66">
        <v>0</v>
      </c>
      <c r="J273" s="66">
        <v>0</v>
      </c>
      <c r="K273" s="86">
        <v>0</v>
      </c>
      <c r="L273" s="86">
        <v>0</v>
      </c>
      <c r="M273" s="66">
        <v>0</v>
      </c>
      <c r="N273" s="66">
        <v>0</v>
      </c>
      <c r="O273" s="66">
        <v>0</v>
      </c>
      <c r="P273" s="66">
        <v>0</v>
      </c>
      <c r="Q273" s="66">
        <v>0</v>
      </c>
      <c r="R273" s="66">
        <v>0</v>
      </c>
      <c r="S273" s="66">
        <v>0</v>
      </c>
      <c r="T273" s="66">
        <v>0</v>
      </c>
      <c r="U273" s="66">
        <v>0</v>
      </c>
      <c r="V273" s="66">
        <v>0</v>
      </c>
      <c r="W273" s="66">
        <v>0</v>
      </c>
      <c r="X273" s="66">
        <v>0</v>
      </c>
      <c r="Y273" s="66">
        <v>0</v>
      </c>
      <c r="Z273" s="34"/>
      <c r="AA273" s="66">
        <v>0</v>
      </c>
      <c r="AB273" s="60">
        <v>0</v>
      </c>
      <c r="AC273" s="34"/>
      <c r="AD273" s="66">
        <v>0</v>
      </c>
      <c r="AE273" s="60">
        <v>0</v>
      </c>
    </row>
    <row r="274" spans="1:31" ht="18" hidden="1" customHeight="1" outlineLevel="1" x14ac:dyDescent="0.2">
      <c r="A274" s="30" t="s">
        <v>89</v>
      </c>
      <c r="B274" s="30" t="s">
        <v>22</v>
      </c>
      <c r="C274" s="4">
        <v>-1</v>
      </c>
      <c r="D274" s="4">
        <v>-1</v>
      </c>
      <c r="F274" s="38" t="s">
        <v>187</v>
      </c>
      <c r="G274" s="34"/>
      <c r="H274" s="66">
        <v>0</v>
      </c>
      <c r="I274" s="66">
        <v>0</v>
      </c>
      <c r="J274" s="66">
        <v>0</v>
      </c>
      <c r="K274" s="86">
        <v>0</v>
      </c>
      <c r="L274" s="86">
        <v>0</v>
      </c>
      <c r="M274" s="66">
        <v>0</v>
      </c>
      <c r="N274" s="66">
        <v>0</v>
      </c>
      <c r="O274" s="66">
        <v>0</v>
      </c>
      <c r="P274" s="66">
        <v>0</v>
      </c>
      <c r="Q274" s="66">
        <v>-0.01</v>
      </c>
      <c r="R274" s="66">
        <v>0</v>
      </c>
      <c r="S274" s="66">
        <v>0</v>
      </c>
      <c r="T274" s="66">
        <v>0</v>
      </c>
      <c r="U274" s="66">
        <v>0</v>
      </c>
      <c r="V274" s="66">
        <v>-0.01</v>
      </c>
      <c r="W274" s="66">
        <v>-0.02</v>
      </c>
      <c r="X274" s="66">
        <v>0</v>
      </c>
      <c r="Y274" s="66">
        <v>-0.04</v>
      </c>
      <c r="Z274" s="34"/>
      <c r="AA274" s="66">
        <v>0</v>
      </c>
      <c r="AB274" s="60">
        <v>-0.04</v>
      </c>
      <c r="AC274" s="34"/>
      <c r="AD274" s="66">
        <v>0</v>
      </c>
      <c r="AE274" s="60">
        <v>-0.04</v>
      </c>
    </row>
    <row r="275" spans="1:31" ht="18" hidden="1" customHeight="1" outlineLevel="1" x14ac:dyDescent="0.2">
      <c r="A275" s="30" t="s">
        <v>193</v>
      </c>
      <c r="B275" s="30" t="s">
        <v>22</v>
      </c>
      <c r="C275" s="4">
        <v>0</v>
      </c>
      <c r="D275" s="4">
        <v>0</v>
      </c>
      <c r="F275" s="38" t="s">
        <v>194</v>
      </c>
      <c r="G275" s="34"/>
      <c r="H275" s="66">
        <v>0</v>
      </c>
      <c r="I275" s="66">
        <v>0</v>
      </c>
      <c r="J275" s="66">
        <v>0</v>
      </c>
      <c r="K275" s="86">
        <v>0</v>
      </c>
      <c r="L275" s="86">
        <v>0</v>
      </c>
      <c r="M275" s="66">
        <v>0</v>
      </c>
      <c r="N275" s="66">
        <v>0</v>
      </c>
      <c r="O275" s="66">
        <v>0</v>
      </c>
      <c r="P275" s="66">
        <v>0</v>
      </c>
      <c r="Q275" s="66">
        <v>0</v>
      </c>
      <c r="R275" s="66">
        <v>0</v>
      </c>
      <c r="S275" s="66">
        <v>0</v>
      </c>
      <c r="T275" s="66">
        <v>0</v>
      </c>
      <c r="U275" s="66">
        <v>0</v>
      </c>
      <c r="V275" s="66">
        <v>0</v>
      </c>
      <c r="W275" s="66">
        <v>0</v>
      </c>
      <c r="X275" s="66">
        <v>0</v>
      </c>
      <c r="Y275" s="66">
        <v>0</v>
      </c>
      <c r="Z275" s="34"/>
      <c r="AA275" s="66">
        <v>0</v>
      </c>
      <c r="AB275" s="60">
        <v>0</v>
      </c>
      <c r="AC275" s="34"/>
      <c r="AD275" s="66">
        <v>0</v>
      </c>
      <c r="AE275" s="60">
        <v>0</v>
      </c>
    </row>
    <row r="276" spans="1:31" ht="18" hidden="1" customHeight="1" outlineLevel="1" x14ac:dyDescent="0.2">
      <c r="A276" s="30" t="s">
        <v>127</v>
      </c>
      <c r="B276" s="30" t="s">
        <v>22</v>
      </c>
      <c r="C276" s="4">
        <v>0</v>
      </c>
      <c r="D276" s="4">
        <v>0</v>
      </c>
      <c r="F276" s="38" t="s">
        <v>128</v>
      </c>
      <c r="G276" s="34"/>
      <c r="H276" s="66">
        <v>0</v>
      </c>
      <c r="I276" s="66">
        <v>0</v>
      </c>
      <c r="J276" s="66">
        <v>0</v>
      </c>
      <c r="K276" s="86">
        <v>0</v>
      </c>
      <c r="L276" s="86">
        <v>0</v>
      </c>
      <c r="M276" s="66">
        <v>0</v>
      </c>
      <c r="N276" s="66">
        <v>0</v>
      </c>
      <c r="O276" s="66">
        <v>0</v>
      </c>
      <c r="P276" s="66">
        <v>0</v>
      </c>
      <c r="Q276" s="66">
        <v>0</v>
      </c>
      <c r="R276" s="66">
        <v>0</v>
      </c>
      <c r="S276" s="66">
        <v>0</v>
      </c>
      <c r="T276" s="66">
        <v>0</v>
      </c>
      <c r="U276" s="66">
        <v>0</v>
      </c>
      <c r="V276" s="66">
        <v>0</v>
      </c>
      <c r="W276" s="66">
        <v>0</v>
      </c>
      <c r="X276" s="66">
        <v>0</v>
      </c>
      <c r="Y276" s="66">
        <v>0</v>
      </c>
      <c r="Z276" s="34"/>
      <c r="AA276" s="66">
        <v>0</v>
      </c>
      <c r="AB276" s="60">
        <v>0</v>
      </c>
      <c r="AC276" s="34"/>
      <c r="AD276" s="66">
        <v>0</v>
      </c>
      <c r="AE276" s="60">
        <v>0</v>
      </c>
    </row>
    <row r="277" spans="1:31" ht="18" hidden="1" customHeight="1" outlineLevel="1" x14ac:dyDescent="0.2">
      <c r="A277" s="30" t="s">
        <v>261</v>
      </c>
      <c r="B277" s="30" t="s">
        <v>22</v>
      </c>
      <c r="C277" s="4">
        <v>0</v>
      </c>
      <c r="D277" s="4">
        <v>0</v>
      </c>
      <c r="F277" s="38" t="s">
        <v>262</v>
      </c>
      <c r="G277" s="34"/>
      <c r="H277" s="66">
        <v>0</v>
      </c>
      <c r="I277" s="66">
        <v>0</v>
      </c>
      <c r="J277" s="66">
        <v>0</v>
      </c>
      <c r="K277" s="86">
        <v>0</v>
      </c>
      <c r="L277" s="86">
        <v>0</v>
      </c>
      <c r="M277" s="66">
        <v>0</v>
      </c>
      <c r="N277" s="66">
        <v>0</v>
      </c>
      <c r="O277" s="66">
        <v>0</v>
      </c>
      <c r="P277" s="66">
        <v>0</v>
      </c>
      <c r="Q277" s="66">
        <v>0</v>
      </c>
      <c r="R277" s="66">
        <v>0</v>
      </c>
      <c r="S277" s="66">
        <v>0</v>
      </c>
      <c r="T277" s="66">
        <v>0</v>
      </c>
      <c r="U277" s="66">
        <v>0</v>
      </c>
      <c r="V277" s="66">
        <v>0</v>
      </c>
      <c r="W277" s="66">
        <v>0</v>
      </c>
      <c r="X277" s="66">
        <v>0</v>
      </c>
      <c r="Y277" s="66">
        <v>0</v>
      </c>
      <c r="Z277" s="34"/>
      <c r="AA277" s="66">
        <v>0</v>
      </c>
      <c r="AB277" s="60">
        <v>0</v>
      </c>
      <c r="AC277" s="34"/>
      <c r="AD277" s="66">
        <v>0</v>
      </c>
      <c r="AE277" s="60">
        <v>0</v>
      </c>
    </row>
    <row r="278" spans="1:31" ht="18" hidden="1" customHeight="1" outlineLevel="1" x14ac:dyDescent="0.2">
      <c r="A278" s="30" t="s">
        <v>263</v>
      </c>
      <c r="B278" s="30" t="s">
        <v>22</v>
      </c>
      <c r="C278" s="4">
        <v>0</v>
      </c>
      <c r="D278" s="4">
        <v>0</v>
      </c>
      <c r="F278" s="38" t="s">
        <v>264</v>
      </c>
      <c r="G278" s="34"/>
      <c r="H278" s="66">
        <v>0</v>
      </c>
      <c r="I278" s="66">
        <v>0</v>
      </c>
      <c r="J278" s="66">
        <v>0</v>
      </c>
      <c r="K278" s="86">
        <v>0</v>
      </c>
      <c r="L278" s="86">
        <v>0</v>
      </c>
      <c r="M278" s="66">
        <v>0</v>
      </c>
      <c r="N278" s="66">
        <v>0</v>
      </c>
      <c r="O278" s="66">
        <v>0</v>
      </c>
      <c r="P278" s="66">
        <v>0</v>
      </c>
      <c r="Q278" s="66">
        <v>0</v>
      </c>
      <c r="R278" s="66">
        <v>0</v>
      </c>
      <c r="S278" s="66">
        <v>0</v>
      </c>
      <c r="T278" s="66">
        <v>0</v>
      </c>
      <c r="U278" s="66">
        <v>0</v>
      </c>
      <c r="V278" s="66">
        <v>0</v>
      </c>
      <c r="W278" s="66">
        <v>0</v>
      </c>
      <c r="X278" s="66">
        <v>0</v>
      </c>
      <c r="Y278" s="66">
        <v>0</v>
      </c>
      <c r="Z278" s="34"/>
      <c r="AA278" s="66">
        <v>0</v>
      </c>
      <c r="AB278" s="60">
        <v>0</v>
      </c>
      <c r="AC278" s="34"/>
      <c r="AD278" s="66">
        <v>0</v>
      </c>
      <c r="AE278" s="60">
        <v>0</v>
      </c>
    </row>
    <row r="279" spans="1:31" ht="18" hidden="1" customHeight="1" outlineLevel="1" x14ac:dyDescent="0.2">
      <c r="A279" s="30" t="s">
        <v>195</v>
      </c>
      <c r="B279" s="30" t="s">
        <v>22</v>
      </c>
      <c r="C279" s="4">
        <v>0</v>
      </c>
      <c r="D279" s="4">
        <v>0</v>
      </c>
      <c r="F279" s="38" t="s">
        <v>196</v>
      </c>
      <c r="G279" s="34"/>
      <c r="H279" s="66">
        <v>0</v>
      </c>
      <c r="I279" s="66">
        <v>0</v>
      </c>
      <c r="J279" s="66">
        <v>0</v>
      </c>
      <c r="K279" s="86">
        <v>0</v>
      </c>
      <c r="L279" s="86">
        <v>0</v>
      </c>
      <c r="M279" s="66">
        <v>0</v>
      </c>
      <c r="N279" s="66">
        <v>0</v>
      </c>
      <c r="O279" s="66">
        <v>0</v>
      </c>
      <c r="P279" s="66">
        <v>0</v>
      </c>
      <c r="Q279" s="66">
        <v>0</v>
      </c>
      <c r="R279" s="66">
        <v>0</v>
      </c>
      <c r="S279" s="66">
        <v>0</v>
      </c>
      <c r="T279" s="66">
        <v>0</v>
      </c>
      <c r="U279" s="66">
        <v>0</v>
      </c>
      <c r="V279" s="66">
        <v>0</v>
      </c>
      <c r="W279" s="66">
        <v>0</v>
      </c>
      <c r="X279" s="66">
        <v>0</v>
      </c>
      <c r="Y279" s="66">
        <v>0</v>
      </c>
      <c r="Z279" s="34"/>
      <c r="AA279" s="66">
        <v>0</v>
      </c>
      <c r="AB279" s="60">
        <v>0</v>
      </c>
      <c r="AC279" s="34"/>
      <c r="AD279" s="66">
        <v>0</v>
      </c>
      <c r="AE279" s="60">
        <v>0</v>
      </c>
    </row>
    <row r="280" spans="1:31" ht="18" hidden="1" customHeight="1" outlineLevel="1" x14ac:dyDescent="0.2">
      <c r="A280" s="30" t="s">
        <v>200</v>
      </c>
      <c r="B280" s="30" t="s">
        <v>22</v>
      </c>
      <c r="C280" s="4">
        <v>0</v>
      </c>
      <c r="D280" s="4">
        <v>0</v>
      </c>
      <c r="F280" s="104" t="s">
        <v>183</v>
      </c>
      <c r="G280" s="36"/>
      <c r="H280" s="65">
        <v>0</v>
      </c>
      <c r="I280" s="65">
        <v>0</v>
      </c>
      <c r="J280" s="65">
        <v>0</v>
      </c>
      <c r="K280" s="90">
        <v>0</v>
      </c>
      <c r="L280" s="90">
        <v>0</v>
      </c>
      <c r="M280" s="65">
        <v>0</v>
      </c>
      <c r="N280" s="65">
        <v>0</v>
      </c>
      <c r="O280" s="65">
        <v>0</v>
      </c>
      <c r="P280" s="65">
        <v>0</v>
      </c>
      <c r="Q280" s="65">
        <v>0</v>
      </c>
      <c r="R280" s="65">
        <v>0</v>
      </c>
      <c r="S280" s="65">
        <v>0</v>
      </c>
      <c r="T280" s="65">
        <v>0</v>
      </c>
      <c r="U280" s="65">
        <v>0</v>
      </c>
      <c r="V280" s="65">
        <v>0</v>
      </c>
      <c r="W280" s="65">
        <v>0</v>
      </c>
      <c r="X280" s="65">
        <v>0</v>
      </c>
      <c r="Y280" s="65">
        <v>0</v>
      </c>
      <c r="Z280" s="36"/>
      <c r="AA280" s="65">
        <v>0</v>
      </c>
      <c r="AB280" s="60">
        <v>0</v>
      </c>
      <c r="AC280" s="36"/>
      <c r="AD280" s="65">
        <v>0</v>
      </c>
      <c r="AE280" s="60">
        <v>0</v>
      </c>
    </row>
    <row r="281" spans="1:31" ht="18" hidden="1" customHeight="1" outlineLevel="1" x14ac:dyDescent="0.2">
      <c r="A281" s="30" t="s">
        <v>199</v>
      </c>
      <c r="B281" s="30" t="s">
        <v>22</v>
      </c>
      <c r="C281" s="4">
        <v>0</v>
      </c>
      <c r="D281" s="4">
        <v>0</v>
      </c>
      <c r="F281" s="38" t="s">
        <v>184</v>
      </c>
      <c r="G281" s="34"/>
      <c r="H281" s="66">
        <v>0</v>
      </c>
      <c r="I281" s="66">
        <v>0</v>
      </c>
      <c r="J281" s="66">
        <v>0</v>
      </c>
      <c r="K281" s="86">
        <v>0</v>
      </c>
      <c r="L281" s="86">
        <v>0</v>
      </c>
      <c r="M281" s="66">
        <v>0</v>
      </c>
      <c r="N281" s="66">
        <v>0</v>
      </c>
      <c r="O281" s="66">
        <v>0</v>
      </c>
      <c r="P281" s="66">
        <v>0</v>
      </c>
      <c r="Q281" s="66">
        <v>0</v>
      </c>
      <c r="R281" s="66">
        <v>0</v>
      </c>
      <c r="S281" s="66">
        <v>0</v>
      </c>
      <c r="T281" s="66">
        <v>0</v>
      </c>
      <c r="U281" s="66">
        <v>0</v>
      </c>
      <c r="V281" s="66">
        <v>0</v>
      </c>
      <c r="W281" s="66">
        <v>0</v>
      </c>
      <c r="X281" s="66">
        <v>0</v>
      </c>
      <c r="Y281" s="66">
        <v>0</v>
      </c>
      <c r="Z281" s="34"/>
      <c r="AA281" s="66">
        <v>0</v>
      </c>
      <c r="AB281" s="60">
        <v>0</v>
      </c>
      <c r="AC281" s="34"/>
      <c r="AD281" s="66">
        <v>0</v>
      </c>
      <c r="AE281" s="60">
        <v>0</v>
      </c>
    </row>
    <row r="282" spans="1:31" s="253" customFormat="1" ht="18" hidden="1" customHeight="1" outlineLevel="1" x14ac:dyDescent="0.2">
      <c r="A282" s="276" t="s">
        <v>445</v>
      </c>
      <c r="B282" s="276" t="s">
        <v>22</v>
      </c>
      <c r="C282" s="252">
        <v>-5.04</v>
      </c>
      <c r="D282" s="252">
        <v>0</v>
      </c>
      <c r="F282" s="255" t="s">
        <v>452</v>
      </c>
      <c r="G282" s="239"/>
      <c r="H282" s="241">
        <v>0</v>
      </c>
      <c r="I282" s="241">
        <v>-0.65800000000000003</v>
      </c>
      <c r="J282" s="241">
        <v>-0.65800000000000003</v>
      </c>
      <c r="K282" s="258">
        <v>-1</v>
      </c>
      <c r="L282" s="258">
        <v>-7</v>
      </c>
      <c r="M282" s="241">
        <v>-0.20899999999999999</v>
      </c>
      <c r="N282" s="241">
        <v>-0.20799999999999999</v>
      </c>
      <c r="O282" s="241">
        <v>-0.20900000000000002</v>
      </c>
      <c r="P282" s="241">
        <v>-0.20799999999999996</v>
      </c>
      <c r="Q282" s="241">
        <v>-3.9159999999999999</v>
      </c>
      <c r="R282" s="241">
        <v>-0.20899999999999963</v>
      </c>
      <c r="S282" s="241">
        <v>-0.20800000000000018</v>
      </c>
      <c r="T282" s="241">
        <v>-0.2110000000000003</v>
      </c>
      <c r="U282" s="241">
        <v>-0.20000000000000018</v>
      </c>
      <c r="V282" s="241">
        <v>-0.19999999999999929</v>
      </c>
      <c r="W282" s="241">
        <v>-0.13200000000000056</v>
      </c>
      <c r="X282" s="241">
        <v>-0.12999999999999989</v>
      </c>
      <c r="Y282" s="241">
        <v>-6.04</v>
      </c>
      <c r="Z282" s="239"/>
      <c r="AA282" s="241">
        <v>-1</v>
      </c>
      <c r="AB282" s="256">
        <v>-5.04</v>
      </c>
      <c r="AC282" s="239"/>
      <c r="AD282" s="241"/>
      <c r="AE282" s="256"/>
    </row>
    <row r="283" spans="1:31" ht="18" hidden="1" customHeight="1" outlineLevel="1" x14ac:dyDescent="0.2">
      <c r="A283" s="30" t="s">
        <v>185</v>
      </c>
      <c r="B283" s="30" t="s">
        <v>22</v>
      </c>
      <c r="C283" s="4">
        <v>1</v>
      </c>
      <c r="D283" s="4">
        <v>0</v>
      </c>
      <c r="F283" s="38" t="s">
        <v>186</v>
      </c>
      <c r="G283" s="34"/>
      <c r="H283" s="66">
        <v>0</v>
      </c>
      <c r="I283" s="66">
        <v>30.100999999999999</v>
      </c>
      <c r="J283" s="66">
        <v>30.100999999999999</v>
      </c>
      <c r="K283" s="86">
        <v>-1</v>
      </c>
      <c r="L283" s="86">
        <v>0</v>
      </c>
      <c r="M283" s="66">
        <v>0</v>
      </c>
      <c r="N283" s="66">
        <v>0</v>
      </c>
      <c r="O283" s="66">
        <v>0</v>
      </c>
      <c r="P283" s="66">
        <v>0</v>
      </c>
      <c r="Q283" s="66">
        <v>0</v>
      </c>
      <c r="R283" s="66">
        <v>0</v>
      </c>
      <c r="S283" s="66">
        <v>0</v>
      </c>
      <c r="T283" s="66">
        <v>0</v>
      </c>
      <c r="U283" s="66">
        <v>0</v>
      </c>
      <c r="V283" s="66">
        <v>0</v>
      </c>
      <c r="W283" s="66">
        <v>0</v>
      </c>
      <c r="X283" s="66">
        <v>0</v>
      </c>
      <c r="Y283" s="66">
        <v>0</v>
      </c>
      <c r="Z283" s="34"/>
      <c r="AA283" s="66">
        <v>-1</v>
      </c>
      <c r="AB283" s="60">
        <v>1</v>
      </c>
      <c r="AC283" s="34"/>
      <c r="AD283" s="66">
        <v>0</v>
      </c>
      <c r="AE283" s="60">
        <v>0</v>
      </c>
    </row>
    <row r="284" spans="1:31" ht="18" hidden="1" customHeight="1" outlineLevel="1" x14ac:dyDescent="0.2">
      <c r="A284" s="30" t="s">
        <v>125</v>
      </c>
      <c r="B284" s="30" t="s">
        <v>22</v>
      </c>
      <c r="C284" s="4">
        <v>0.99</v>
      </c>
      <c r="D284" s="4">
        <v>0.98750000000000004</v>
      </c>
      <c r="F284" s="38" t="s">
        <v>126</v>
      </c>
      <c r="G284" s="34"/>
      <c r="H284" s="66">
        <v>-7.5019999999999998</v>
      </c>
      <c r="I284" s="66">
        <v>-5.3529999999999998</v>
      </c>
      <c r="J284" s="66">
        <v>-5.3529999999999998</v>
      </c>
      <c r="K284" s="86">
        <v>-5</v>
      </c>
      <c r="L284" s="86">
        <v>-4</v>
      </c>
      <c r="M284" s="66">
        <v>-5.3999999999999999E-2</v>
      </c>
      <c r="N284" s="66">
        <v>0</v>
      </c>
      <c r="O284" s="66">
        <v>0</v>
      </c>
      <c r="P284" s="66">
        <v>0</v>
      </c>
      <c r="Q284" s="66">
        <v>0</v>
      </c>
      <c r="R284" s="66">
        <v>0</v>
      </c>
      <c r="S284" s="66">
        <v>0</v>
      </c>
      <c r="T284" s="66">
        <v>0</v>
      </c>
      <c r="U284" s="66">
        <v>0</v>
      </c>
      <c r="V284" s="66">
        <v>0</v>
      </c>
      <c r="W284" s="66">
        <v>0</v>
      </c>
      <c r="X284" s="66">
        <v>0</v>
      </c>
      <c r="Y284" s="66">
        <v>-5.3999999999999999E-2</v>
      </c>
      <c r="Z284" s="34"/>
      <c r="AA284" s="66">
        <v>-5</v>
      </c>
      <c r="AB284" s="60">
        <v>4.95</v>
      </c>
      <c r="AC284" s="34"/>
      <c r="AD284" s="66">
        <v>-4</v>
      </c>
      <c r="AE284" s="60">
        <v>3.95</v>
      </c>
    </row>
    <row r="285" spans="1:31" ht="18" customHeight="1" collapsed="1" x14ac:dyDescent="0.2">
      <c r="A285" s="35"/>
      <c r="B285" s="35"/>
      <c r="C285" s="4">
        <v>-0.45428571428571429</v>
      </c>
      <c r="D285" s="4">
        <v>0.27285714285714285</v>
      </c>
      <c r="F285" s="106" t="s">
        <v>69</v>
      </c>
      <c r="H285" s="61">
        <v>-12.065999999999999</v>
      </c>
      <c r="I285" s="61">
        <v>19.984000000000002</v>
      </c>
      <c r="J285" s="61">
        <v>19.984000000000002</v>
      </c>
      <c r="K285" s="86">
        <v>-7</v>
      </c>
      <c r="L285" s="86">
        <v>-14</v>
      </c>
      <c r="M285" s="61">
        <v>-0.26300000000000001</v>
      </c>
      <c r="N285" s="61">
        <v>-0.20799999999999999</v>
      </c>
      <c r="O285" s="61">
        <v>-0.20900000000000002</v>
      </c>
      <c r="P285" s="61">
        <v>-0.20799999999999996</v>
      </c>
      <c r="Q285" s="61">
        <v>-3.9259999999999997</v>
      </c>
      <c r="R285" s="61">
        <v>-0.20899999999999963</v>
      </c>
      <c r="S285" s="61">
        <v>-0.20800000000000018</v>
      </c>
      <c r="T285" s="61">
        <v>-0.26100000000000029</v>
      </c>
      <c r="U285" s="61">
        <v>-0.20000000000000018</v>
      </c>
      <c r="V285" s="61">
        <v>-0.2099999999999993</v>
      </c>
      <c r="W285" s="61">
        <v>-0.15200000000000055</v>
      </c>
      <c r="X285" s="61">
        <v>-4.13</v>
      </c>
      <c r="Y285" s="61">
        <v>-10.183999999999999</v>
      </c>
      <c r="AA285" s="61">
        <v>-7</v>
      </c>
      <c r="AB285" s="60">
        <v>-3.18</v>
      </c>
      <c r="AD285" s="61">
        <v>-14</v>
      </c>
      <c r="AE285" s="60">
        <v>3.82</v>
      </c>
    </row>
    <row r="286" spans="1:31" ht="18" customHeight="1" x14ac:dyDescent="0.2">
      <c r="A286" s="30" t="s">
        <v>257</v>
      </c>
      <c r="B286" s="30" t="s">
        <v>22</v>
      </c>
      <c r="C286" s="4">
        <v>-1.212</v>
      </c>
      <c r="D286" s="4">
        <v>0.69714285714285718</v>
      </c>
      <c r="F286" s="104" t="s">
        <v>258</v>
      </c>
      <c r="G286" s="36"/>
      <c r="H286" s="65">
        <v>103.32899999999999</v>
      </c>
      <c r="I286" s="65">
        <v>58.140999999999998</v>
      </c>
      <c r="J286" s="65">
        <v>58.140999999999998</v>
      </c>
      <c r="K286" s="65">
        <v>10</v>
      </c>
      <c r="L286" s="65">
        <v>-7</v>
      </c>
      <c r="M286" s="65">
        <v>-0.65599999999999503</v>
      </c>
      <c r="N286" s="65">
        <v>-5.6710000000000047</v>
      </c>
      <c r="O286" s="65">
        <v>-1.0940000000000003</v>
      </c>
      <c r="P286" s="65">
        <v>-4.3000000000000149E-2</v>
      </c>
      <c r="Q286" s="65">
        <v>6.8790000000000067</v>
      </c>
      <c r="R286" s="65">
        <v>-11.525000000000006</v>
      </c>
      <c r="S286" s="65">
        <v>0</v>
      </c>
      <c r="T286" s="65">
        <v>-1.8470000000000013</v>
      </c>
      <c r="U286" s="65">
        <v>3.0870000000000015</v>
      </c>
      <c r="V286" s="65">
        <v>1.5290000000000088</v>
      </c>
      <c r="W286" s="65">
        <v>1.0389999999999908</v>
      </c>
      <c r="X286" s="65">
        <v>6.1839999999999993</v>
      </c>
      <c r="Y286" s="65">
        <v>-2.1179999999999999</v>
      </c>
      <c r="Z286" s="36"/>
      <c r="AA286" s="65">
        <v>10</v>
      </c>
      <c r="AB286" s="60">
        <v>-12.12</v>
      </c>
      <c r="AC286" s="36"/>
      <c r="AD286" s="65">
        <v>-7</v>
      </c>
      <c r="AE286" s="60">
        <v>4.88</v>
      </c>
    </row>
    <row r="287" spans="1:31" ht="18" customHeight="1" x14ac:dyDescent="0.2">
      <c r="A287" s="30" t="s">
        <v>256</v>
      </c>
      <c r="B287" s="30" t="s">
        <v>22</v>
      </c>
      <c r="C287" s="4">
        <v>0</v>
      </c>
      <c r="D287" s="4">
        <v>0</v>
      </c>
      <c r="F287" s="104" t="s">
        <v>259</v>
      </c>
      <c r="G287" s="36"/>
      <c r="H287" s="65">
        <v>0</v>
      </c>
      <c r="I287" s="65">
        <v>0</v>
      </c>
      <c r="J287" s="65">
        <v>0</v>
      </c>
      <c r="K287" s="65">
        <v>0</v>
      </c>
      <c r="L287" s="65">
        <v>0</v>
      </c>
      <c r="M287" s="65">
        <v>0</v>
      </c>
      <c r="N287" s="65">
        <v>0</v>
      </c>
      <c r="O287" s="65">
        <v>0</v>
      </c>
      <c r="P287" s="65">
        <v>0</v>
      </c>
      <c r="Q287" s="65">
        <v>0</v>
      </c>
      <c r="R287" s="65">
        <v>0</v>
      </c>
      <c r="S287" s="65">
        <v>0</v>
      </c>
      <c r="T287" s="65">
        <v>0</v>
      </c>
      <c r="U287" s="65">
        <v>0</v>
      </c>
      <c r="V287" s="65">
        <v>0</v>
      </c>
      <c r="W287" s="65">
        <v>0</v>
      </c>
      <c r="X287" s="65">
        <v>0</v>
      </c>
      <c r="Y287" s="65">
        <v>0</v>
      </c>
      <c r="Z287" s="36"/>
      <c r="AA287" s="65">
        <v>0</v>
      </c>
      <c r="AB287" s="60">
        <v>0</v>
      </c>
      <c r="AC287" s="36"/>
      <c r="AD287" s="65">
        <v>0</v>
      </c>
      <c r="AE287" s="60">
        <v>0</v>
      </c>
    </row>
    <row r="288" spans="1:31" ht="18" customHeight="1" x14ac:dyDescent="0.2">
      <c r="A288" s="35"/>
      <c r="B288" s="35"/>
      <c r="C288" s="4">
        <v>-3.7747956891833233E-3</v>
      </c>
      <c r="D288" s="4">
        <v>1.9360905721608618E-2</v>
      </c>
      <c r="F288" s="95" t="s">
        <v>87</v>
      </c>
      <c r="H288" s="64">
        <v>-310.19799999999998</v>
      </c>
      <c r="I288" s="64">
        <v>-333.20799999999997</v>
      </c>
      <c r="J288" s="64">
        <v>-333.20799999999997</v>
      </c>
      <c r="K288" s="89">
        <v>-423.86399999999998</v>
      </c>
      <c r="L288" s="89">
        <v>-433.86399999999998</v>
      </c>
      <c r="M288" s="64">
        <v>-41.347999999999992</v>
      </c>
      <c r="N288" s="64">
        <v>-40.232000000000006</v>
      </c>
      <c r="O288" s="64">
        <v>-34.605000000000011</v>
      </c>
      <c r="P288" s="64">
        <v>-33.480999999999987</v>
      </c>
      <c r="Q288" s="64">
        <v>-35.62299999999999</v>
      </c>
      <c r="R288" s="64">
        <v>-36.336000000000013</v>
      </c>
      <c r="S288" s="64">
        <v>-30.6</v>
      </c>
      <c r="T288" s="64">
        <v>-39.253999999999991</v>
      </c>
      <c r="U288" s="64">
        <v>-30.432999999999996</v>
      </c>
      <c r="V288" s="64">
        <v>-30.240999999999993</v>
      </c>
      <c r="W288" s="64">
        <v>-33.361000000000004</v>
      </c>
      <c r="X288" s="64">
        <v>-39.948000000000015</v>
      </c>
      <c r="Y288" s="64">
        <v>-425.46200000000005</v>
      </c>
      <c r="AA288" s="64">
        <v>-423.86399999999998</v>
      </c>
      <c r="AB288" s="60">
        <v>-1.6</v>
      </c>
      <c r="AD288" s="64">
        <v>-433.86399999999998</v>
      </c>
      <c r="AE288" s="60">
        <v>8.4</v>
      </c>
    </row>
    <row r="289" spans="1:33" ht="12.95" customHeight="1" x14ac:dyDescent="0.2">
      <c r="A289" s="35"/>
      <c r="B289" s="35"/>
      <c r="C289" s="4"/>
      <c r="D289" s="4"/>
      <c r="F289" s="39" t="s">
        <v>223</v>
      </c>
      <c r="H289" s="56">
        <v>1.8240436851282793E-2</v>
      </c>
      <c r="I289" s="56">
        <v>1.8959154869873728E-2</v>
      </c>
      <c r="J289" s="56">
        <v>1.8959154869873728E-2</v>
      </c>
      <c r="K289" s="109">
        <v>2.442184903445703E-2</v>
      </c>
      <c r="L289" s="109">
        <v>2.4097387962980808E-2</v>
      </c>
      <c r="M289" s="56">
        <v>2.9844476411618175E-2</v>
      </c>
      <c r="N289" s="56">
        <v>2.9262083737912632E-2</v>
      </c>
      <c r="O289" s="56">
        <v>2.4261294244173587E-2</v>
      </c>
      <c r="P289" s="56">
        <v>2.1900756168397907E-2</v>
      </c>
      <c r="Q289" s="56">
        <v>2.1856009129422441E-2</v>
      </c>
      <c r="R289" s="56">
        <v>2.3181955639373111E-2</v>
      </c>
      <c r="S289" s="56">
        <v>2.0896386700610777E-2</v>
      </c>
      <c r="T289" s="56">
        <v>2.5911479563041635E-2</v>
      </c>
      <c r="U289" s="56">
        <v>2.0073187687899618E-2</v>
      </c>
      <c r="V289" s="56">
        <v>1.919413938013358E-2</v>
      </c>
      <c r="W289" s="56">
        <v>2.109040977766595E-2</v>
      </c>
      <c r="X289" s="56">
        <v>2.4653628492257947E-2</v>
      </c>
      <c r="Y289" s="56">
        <v>2.3395196380486611E-2</v>
      </c>
      <c r="AA289" s="56">
        <v>2.442184903445703E-2</v>
      </c>
      <c r="AB289" s="57"/>
      <c r="AD289" s="56">
        <v>2.4097387962980808E-2</v>
      </c>
      <c r="AE289" s="57"/>
    </row>
    <row r="290" spans="1:33" ht="6.95" customHeight="1" x14ac:dyDescent="0.2">
      <c r="C290" s="4"/>
      <c r="D290" s="4"/>
      <c r="F290" s="96"/>
      <c r="H290" s="16"/>
      <c r="I290" s="16"/>
      <c r="J290" s="16"/>
      <c r="K290" s="85"/>
      <c r="L290" s="85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AA290" s="16"/>
      <c r="AB290" s="20"/>
      <c r="AD290" s="16"/>
      <c r="AE290" s="20"/>
    </row>
    <row r="291" spans="1:33" ht="18" customHeight="1" x14ac:dyDescent="0.2">
      <c r="A291" s="30" t="s">
        <v>19</v>
      </c>
      <c r="B291" s="30" t="s">
        <v>25</v>
      </c>
      <c r="C291" s="4">
        <v>-1.0001149557420392</v>
      </c>
      <c r="D291" s="4">
        <v>-0.55913978494623651</v>
      </c>
      <c r="F291" s="104" t="s">
        <v>255</v>
      </c>
      <c r="G291" s="36"/>
      <c r="H291" s="65">
        <v>-17.634</v>
      </c>
      <c r="I291" s="65">
        <v>-24.474</v>
      </c>
      <c r="J291" s="65">
        <v>-24.474</v>
      </c>
      <c r="K291" s="65">
        <v>0</v>
      </c>
      <c r="L291" s="65">
        <v>-11.16</v>
      </c>
      <c r="M291" s="65">
        <v>-0.13100000000000001</v>
      </c>
      <c r="N291" s="65">
        <v>-4.4729999999999999</v>
      </c>
      <c r="O291" s="65">
        <v>-2.0039999999999996</v>
      </c>
      <c r="P291" s="65">
        <v>-0.79100000000000037</v>
      </c>
      <c r="Q291" s="65">
        <v>-1.9639999999999995</v>
      </c>
      <c r="R291" s="65">
        <v>0.93799999999999883</v>
      </c>
      <c r="S291" s="65">
        <v>0</v>
      </c>
      <c r="T291" s="65">
        <v>-2.1979999999999986</v>
      </c>
      <c r="U291" s="65">
        <v>-2.7900000000000009</v>
      </c>
      <c r="V291" s="65">
        <v>-0.99499999999999922</v>
      </c>
      <c r="W291" s="65">
        <v>-1.2090000000000014</v>
      </c>
      <c r="X291" s="65">
        <v>-1.7809999999999988</v>
      </c>
      <c r="Y291" s="65">
        <v>-17.398</v>
      </c>
      <c r="Z291" s="36"/>
      <c r="AA291" s="65">
        <v>0</v>
      </c>
      <c r="AB291" s="60">
        <v>-17.399999999999999</v>
      </c>
      <c r="AC291" s="36"/>
      <c r="AD291" s="65">
        <v>-11.160000000000002</v>
      </c>
      <c r="AE291" s="60">
        <v>-6.24</v>
      </c>
    </row>
    <row r="292" spans="1:33" ht="12.95" customHeight="1" x14ac:dyDescent="0.2">
      <c r="A292" s="35"/>
      <c r="B292" s="35"/>
      <c r="C292" s="4"/>
      <c r="D292" s="4"/>
      <c r="F292" s="39" t="s">
        <v>223</v>
      </c>
      <c r="H292" s="56">
        <v>1.0369243626184592E-3</v>
      </c>
      <c r="I292" s="56">
        <v>1.3925426648978706E-3</v>
      </c>
      <c r="J292" s="56">
        <v>1.3925426648978706E-3</v>
      </c>
      <c r="K292" s="109">
        <v>0</v>
      </c>
      <c r="L292" s="109">
        <v>6.1984135504873834E-4</v>
      </c>
      <c r="M292" s="56">
        <v>9.4554184239188877E-5</v>
      </c>
      <c r="N292" s="56">
        <v>3.2533630085425326E-3</v>
      </c>
      <c r="O292" s="56">
        <v>1.4049886913834371E-3</v>
      </c>
      <c r="P292" s="56">
        <v>5.1741280514927144E-4</v>
      </c>
      <c r="Q292" s="56">
        <v>1.2049855972317233E-3</v>
      </c>
      <c r="R292" s="56">
        <v>-5.9843335506747964E-4</v>
      </c>
      <c r="S292" s="56">
        <v>0</v>
      </c>
      <c r="T292" s="56">
        <v>1.4508949936201533E-3</v>
      </c>
      <c r="U292" s="56">
        <v>1.8402455771445456E-3</v>
      </c>
      <c r="V292" s="56">
        <v>6.3153231319178931E-4</v>
      </c>
      <c r="W292" s="56">
        <v>7.6431478136740989E-4</v>
      </c>
      <c r="X292" s="56">
        <v>1.0991316798015258E-3</v>
      </c>
      <c r="Y292" s="56">
        <v>9.5667680457410065E-4</v>
      </c>
      <c r="AA292" s="56">
        <v>0</v>
      </c>
      <c r="AB292" s="57"/>
      <c r="AD292" s="56">
        <v>6.1984135504873845E-4</v>
      </c>
      <c r="AE292" s="57"/>
    </row>
    <row r="293" spans="1:33" ht="6.95" customHeight="1" x14ac:dyDescent="0.2">
      <c r="C293" s="4"/>
      <c r="D293" s="4"/>
      <c r="F293" s="96"/>
      <c r="H293" s="16"/>
      <c r="I293" s="16"/>
      <c r="J293" s="16"/>
      <c r="K293" s="85"/>
      <c r="L293" s="85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AA293" s="16"/>
      <c r="AB293" s="20"/>
      <c r="AD293" s="16"/>
      <c r="AE293" s="20"/>
    </row>
    <row r="294" spans="1:33" s="40" customFormat="1" ht="18" customHeight="1" x14ac:dyDescent="0.2">
      <c r="A294" s="35"/>
      <c r="B294" s="35"/>
      <c r="C294" s="4">
        <v>-1.8542944956057992E-2</v>
      </c>
      <c r="D294" s="4">
        <v>-2.273152263972689E-2</v>
      </c>
      <c r="E294" s="8"/>
      <c r="F294" s="100" t="s">
        <v>279</v>
      </c>
      <c r="G294" s="8"/>
      <c r="H294" s="62">
        <v>-2017.6110000000003</v>
      </c>
      <c r="I294" s="62">
        <v>-2088.29</v>
      </c>
      <c r="J294" s="62">
        <v>-2088.29</v>
      </c>
      <c r="K294" s="108">
        <v>-2170.6368699999998</v>
      </c>
      <c r="L294" s="108">
        <v>-2161.7557599999996</v>
      </c>
      <c r="M294" s="62">
        <v>-190.77399999999997</v>
      </c>
      <c r="N294" s="62">
        <v>-184.29199999999997</v>
      </c>
      <c r="O294" s="62">
        <v>-173.62899999999999</v>
      </c>
      <c r="P294" s="62">
        <v>-166.31100000000001</v>
      </c>
      <c r="Q294" s="62">
        <v>-164.28899999999999</v>
      </c>
      <c r="R294" s="62">
        <v>-183.95500000000007</v>
      </c>
      <c r="S294" s="62">
        <v>-150.01</v>
      </c>
      <c r="T294" s="62">
        <v>-152.7710000000001</v>
      </c>
      <c r="U294" s="62">
        <v>-198.11099999999999</v>
      </c>
      <c r="V294" s="62">
        <v>-173.11799999999999</v>
      </c>
      <c r="W294" s="62">
        <v>-268.34499999999997</v>
      </c>
      <c r="X294" s="62">
        <v>-205.28599999999992</v>
      </c>
      <c r="Y294" s="62">
        <v>-2210.8910000000001</v>
      </c>
      <c r="Z294" s="8"/>
      <c r="AA294" s="62">
        <v>-2170.6368699999998</v>
      </c>
      <c r="AB294" s="60">
        <v>-40.25</v>
      </c>
      <c r="AC294" s="8"/>
      <c r="AD294" s="62">
        <v>-2161.7557599999996</v>
      </c>
      <c r="AE294" s="60">
        <v>-49.14</v>
      </c>
      <c r="AG294" s="41"/>
    </row>
    <row r="295" spans="1:33" ht="12.95" customHeight="1" x14ac:dyDescent="0.2">
      <c r="A295" s="35"/>
      <c r="B295" s="35"/>
      <c r="C295" s="4"/>
      <c r="D295" s="4"/>
      <c r="F295" s="39" t="s">
        <v>223</v>
      </c>
      <c r="H295" s="56">
        <v>0.11864069412424817</v>
      </c>
      <c r="I295" s="56">
        <v>0.11882131738496259</v>
      </c>
      <c r="J295" s="56">
        <v>0.11882131738496259</v>
      </c>
      <c r="K295" s="109">
        <v>0.12506597858692017</v>
      </c>
      <c r="L295" s="109">
        <v>0.1200668117887827</v>
      </c>
      <c r="M295" s="56">
        <v>0.13769832018356501</v>
      </c>
      <c r="N295" s="56">
        <v>0.13404175621961106</v>
      </c>
      <c r="O295" s="56">
        <v>0.12172993088633474</v>
      </c>
      <c r="P295" s="56">
        <v>0.10878816818859728</v>
      </c>
      <c r="Q295" s="56">
        <v>0.10079729062301558</v>
      </c>
      <c r="R295" s="56">
        <v>0.1173612023789322</v>
      </c>
      <c r="S295" s="56">
        <v>0.10244009702479158</v>
      </c>
      <c r="T295" s="56">
        <v>0.10084380303473371</v>
      </c>
      <c r="U295" s="56">
        <v>0.13067128728805841</v>
      </c>
      <c r="V295" s="56">
        <v>0.10987900602526258</v>
      </c>
      <c r="W295" s="56">
        <v>0.16964437552194983</v>
      </c>
      <c r="X295" s="56">
        <v>0.12669081752932965</v>
      </c>
      <c r="Y295" s="56">
        <v>0.12157191269925498</v>
      </c>
      <c r="AA295" s="56">
        <v>0.12506597858692017</v>
      </c>
      <c r="AB295" s="57"/>
      <c r="AD295" s="56">
        <v>0.1200668117887827</v>
      </c>
      <c r="AE295" s="57"/>
    </row>
    <row r="296" spans="1:33" ht="6.95" customHeight="1" x14ac:dyDescent="0.2">
      <c r="C296" s="4"/>
      <c r="D296" s="4"/>
      <c r="F296" s="96"/>
      <c r="H296" s="16"/>
      <c r="I296" s="16"/>
      <c r="J296" s="16"/>
      <c r="K296" s="85"/>
      <c r="L296" s="85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AA296" s="16"/>
      <c r="AB296" s="20"/>
      <c r="AD296" s="16"/>
      <c r="AE296" s="20"/>
    </row>
    <row r="297" spans="1:33" s="40" customFormat="1" ht="18" customHeight="1" x14ac:dyDescent="0.2">
      <c r="A297" s="35"/>
      <c r="B297" s="35"/>
      <c r="C297" s="4">
        <v>0.10948804040179058</v>
      </c>
      <c r="D297" s="4">
        <v>1.8872385452501278E-2</v>
      </c>
      <c r="E297" s="8"/>
      <c r="F297" s="101" t="s">
        <v>23</v>
      </c>
      <c r="G297" s="8"/>
      <c r="H297" s="77">
        <v>3819.2640000000015</v>
      </c>
      <c r="I297" s="77">
        <v>3868.1860000000006</v>
      </c>
      <c r="J297" s="77">
        <v>3868.1860000000006</v>
      </c>
      <c r="K297" s="114">
        <v>3722.9637000000025</v>
      </c>
      <c r="L297" s="114">
        <v>4054.0714999999987</v>
      </c>
      <c r="M297" s="77">
        <v>170.86999999999992</v>
      </c>
      <c r="N297" s="77">
        <v>136.63599999999991</v>
      </c>
      <c r="O297" s="77">
        <v>149.77499999999955</v>
      </c>
      <c r="P297" s="77">
        <v>393.154</v>
      </c>
      <c r="Q297" s="77">
        <v>665.37700000000029</v>
      </c>
      <c r="R297" s="77">
        <v>349.97399999999891</v>
      </c>
      <c r="S297" s="77">
        <v>444.45799999999963</v>
      </c>
      <c r="T297" s="77">
        <v>489.14800000000025</v>
      </c>
      <c r="U297" s="77">
        <v>295.1580000000007</v>
      </c>
      <c r="V297" s="77">
        <v>344.50499999999914</v>
      </c>
      <c r="W297" s="77">
        <v>300.38400000000053</v>
      </c>
      <c r="X297" s="77">
        <v>391.14700000000096</v>
      </c>
      <c r="Y297" s="77">
        <v>4130.5859999999957</v>
      </c>
      <c r="Z297" s="8"/>
      <c r="AA297" s="77">
        <v>3722.9637000000025</v>
      </c>
      <c r="AB297" s="60">
        <v>407.62</v>
      </c>
      <c r="AC297" s="8"/>
      <c r="AD297" s="77">
        <v>4054.0714999999987</v>
      </c>
      <c r="AE297" s="60">
        <v>76.510000000000005</v>
      </c>
    </row>
    <row r="298" spans="1:33" ht="12.95" customHeight="1" x14ac:dyDescent="0.2">
      <c r="A298" s="35"/>
      <c r="B298" s="35"/>
      <c r="C298" s="4"/>
      <c r="D298" s="4"/>
      <c r="F298" s="39" t="s">
        <v>223</v>
      </c>
      <c r="H298" s="56">
        <v>0.22458250475624522</v>
      </c>
      <c r="I298" s="56">
        <v>0.2200953681768667</v>
      </c>
      <c r="J298" s="56">
        <v>0.2200953681768667</v>
      </c>
      <c r="K298" s="109">
        <v>0.21450667535380133</v>
      </c>
      <c r="L298" s="109">
        <v>0.22516856380147585</v>
      </c>
      <c r="M298" s="56">
        <v>0.12333185848053585</v>
      </c>
      <c r="N298" s="56">
        <v>9.9379948141117197E-2</v>
      </c>
      <c r="O298" s="56">
        <v>0.10500607846903877</v>
      </c>
      <c r="P298" s="56">
        <v>0.25717182553180351</v>
      </c>
      <c r="Q298" s="56">
        <v>0.40823304568699231</v>
      </c>
      <c r="R298" s="56">
        <v>0.2232794403053153</v>
      </c>
      <c r="S298" s="56">
        <v>0.30351523660719137</v>
      </c>
      <c r="T298" s="56">
        <v>0.32288552517712077</v>
      </c>
      <c r="U298" s="56">
        <v>0.19468215199241251</v>
      </c>
      <c r="V298" s="56">
        <v>0.21865933623732364</v>
      </c>
      <c r="W298" s="56">
        <v>0.18989903332197533</v>
      </c>
      <c r="X298" s="56">
        <v>0.24139363231854508</v>
      </c>
      <c r="Y298" s="56">
        <v>0.2271316137198823</v>
      </c>
      <c r="AA298" s="56">
        <v>0.21450667535380133</v>
      </c>
      <c r="AB298" s="57"/>
      <c r="AD298" s="56">
        <v>0.22516856380147585</v>
      </c>
      <c r="AE298" s="57"/>
    </row>
    <row r="299" spans="1:33" s="11" customFormat="1" ht="6.75" customHeight="1" x14ac:dyDescent="0.2">
      <c r="A299" s="8"/>
      <c r="B299" s="8"/>
      <c r="C299" s="8"/>
      <c r="D299" s="8"/>
      <c r="AF299" s="8"/>
      <c r="AG299" s="8"/>
    </row>
    <row r="300" spans="1:33" s="11" customFormat="1" ht="18" customHeight="1" x14ac:dyDescent="0.2">
      <c r="A300" s="276" t="s">
        <v>92</v>
      </c>
      <c r="B300" s="276" t="s">
        <v>17</v>
      </c>
      <c r="C300" s="253"/>
      <c r="D300" s="253"/>
      <c r="F300" s="101" t="s">
        <v>455</v>
      </c>
      <c r="G300" s="253"/>
      <c r="H300" s="77">
        <v>-25.154</v>
      </c>
      <c r="I300" s="77">
        <v>-22.619</v>
      </c>
      <c r="J300" s="77">
        <v>-22.619</v>
      </c>
      <c r="K300" s="114">
        <v>-19.484999999999999</v>
      </c>
      <c r="L300" s="114">
        <v>-20.440999999999999</v>
      </c>
      <c r="M300" s="77">
        <v>-1.4359999999999999</v>
      </c>
      <c r="N300" s="77">
        <v>-1.5880000000000001</v>
      </c>
      <c r="O300" s="77">
        <v>-1.6740000000000004</v>
      </c>
      <c r="P300" s="77">
        <v>-1.3769999999999998</v>
      </c>
      <c r="Q300" s="77">
        <v>-1.1829999999999998</v>
      </c>
      <c r="R300" s="77">
        <v>-1.1670000000000007</v>
      </c>
      <c r="S300" s="77">
        <v>-1.1639999999999997</v>
      </c>
      <c r="T300" s="77">
        <v>-1.2880000000000003</v>
      </c>
      <c r="U300" s="77">
        <v>-1.1909999999999989</v>
      </c>
      <c r="V300" s="77">
        <v>-0.96499999999999986</v>
      </c>
      <c r="W300" s="77">
        <v>-0.90300000000000047</v>
      </c>
      <c r="X300" s="77">
        <v>-0.90399999999999991</v>
      </c>
      <c r="Y300" s="77">
        <v>-14.84</v>
      </c>
      <c r="Z300" s="253"/>
      <c r="AA300" s="77">
        <v>-19.484999999999999</v>
      </c>
      <c r="AB300" s="256">
        <v>4.6500000000000004</v>
      </c>
      <c r="AD300" s="77">
        <v>-20.440999999999999</v>
      </c>
      <c r="AE300" s="256">
        <v>5.6</v>
      </c>
      <c r="AF300" s="253"/>
      <c r="AG300" s="253"/>
    </row>
    <row r="301" spans="1:33" s="11" customFormat="1" ht="6.75" customHeight="1" x14ac:dyDescent="0.2">
      <c r="A301" s="253"/>
      <c r="B301" s="253"/>
      <c r="C301" s="253"/>
      <c r="D301" s="253"/>
      <c r="AF301" s="253"/>
      <c r="AG301" s="253"/>
    </row>
    <row r="302" spans="1:33" s="11" customFormat="1" ht="18" customHeight="1" x14ac:dyDescent="0.2">
      <c r="A302" s="276" t="s">
        <v>457</v>
      </c>
      <c r="B302" s="276" t="s">
        <v>17</v>
      </c>
      <c r="C302" s="253"/>
      <c r="D302" s="253"/>
      <c r="F302" s="101" t="s">
        <v>456</v>
      </c>
      <c r="G302" s="253"/>
      <c r="H302" s="77">
        <v>3844.98</v>
      </c>
      <c r="I302" s="77">
        <v>3890.962</v>
      </c>
      <c r="J302" s="77">
        <v>3890.962</v>
      </c>
      <c r="K302" s="114">
        <v>3742.4486999999999</v>
      </c>
      <c r="L302" s="114">
        <v>4074.5124999999998</v>
      </c>
      <c r="M302" s="77">
        <v>172.30600000000001</v>
      </c>
      <c r="N302" s="77">
        <v>138.22399999999996</v>
      </c>
      <c r="O302" s="77">
        <v>151.44900000000001</v>
      </c>
      <c r="P302" s="77">
        <v>394.53100000000001</v>
      </c>
      <c r="Q302" s="77">
        <v>666.56</v>
      </c>
      <c r="R302" s="77">
        <v>351.14100000000008</v>
      </c>
      <c r="S302" s="77">
        <v>445.62200000000007</v>
      </c>
      <c r="T302" s="77">
        <v>490.43599999999969</v>
      </c>
      <c r="U302" s="77">
        <v>296.34900000000016</v>
      </c>
      <c r="V302" s="77">
        <v>345.47000000000025</v>
      </c>
      <c r="W302" s="77">
        <v>301.28699999999981</v>
      </c>
      <c r="X302" s="77">
        <v>392.05100000000039</v>
      </c>
      <c r="Y302" s="77">
        <v>4145.4260000000004</v>
      </c>
      <c r="Z302" s="253"/>
      <c r="AA302" s="77">
        <v>3742.4486999999995</v>
      </c>
      <c r="AB302" s="256">
        <v>402.98</v>
      </c>
      <c r="AD302" s="77">
        <v>4074.5124999999994</v>
      </c>
      <c r="AE302" s="256">
        <v>70.91</v>
      </c>
      <c r="AF302" s="253"/>
      <c r="AG302" s="253"/>
    </row>
    <row r="303" spans="1:33" s="11" customFormat="1" x14ac:dyDescent="0.2">
      <c r="A303" s="253"/>
      <c r="B303" s="253"/>
      <c r="C303" s="253"/>
      <c r="D303" s="253"/>
      <c r="AF303" s="253"/>
      <c r="AG303" s="253"/>
    </row>
    <row r="304" spans="1:33" s="11" customFormat="1" x14ac:dyDescent="0.2">
      <c r="A304" s="8"/>
      <c r="B304" s="8"/>
      <c r="C304" s="8"/>
      <c r="D304" s="8"/>
      <c r="AF304" s="8"/>
      <c r="AG304" s="8"/>
    </row>
    <row r="305" spans="1:33" s="11" customFormat="1" x14ac:dyDescent="0.2">
      <c r="A305" s="8"/>
      <c r="B305" s="8"/>
      <c r="C305" s="8"/>
      <c r="D305" s="8"/>
      <c r="AF305" s="8"/>
      <c r="AG305" s="8"/>
    </row>
    <row r="306" spans="1:33" s="11" customFormat="1" x14ac:dyDescent="0.2">
      <c r="A306" s="8"/>
      <c r="B306" s="8"/>
      <c r="C306" s="8"/>
      <c r="D306" s="8"/>
      <c r="AF306" s="8"/>
      <c r="AG306" s="8"/>
    </row>
    <row r="307" spans="1:33" s="11" customFormat="1" x14ac:dyDescent="0.2">
      <c r="A307" s="8"/>
      <c r="B307" s="8"/>
      <c r="C307" s="8"/>
      <c r="D307" s="8"/>
      <c r="AF307" s="8"/>
      <c r="AG307" s="8"/>
    </row>
    <row r="308" spans="1:33" s="11" customFormat="1" x14ac:dyDescent="0.2">
      <c r="A308" s="8"/>
      <c r="B308" s="8"/>
      <c r="C308" s="8"/>
      <c r="D308" s="8"/>
      <c r="AF308" s="8"/>
      <c r="AG308" s="8"/>
    </row>
    <row r="309" spans="1:33" s="11" customFormat="1" x14ac:dyDescent="0.2">
      <c r="A309" s="8"/>
      <c r="B309" s="8"/>
      <c r="C309" s="8"/>
      <c r="D309" s="8"/>
      <c r="AF309" s="8"/>
      <c r="AG309" s="8"/>
    </row>
    <row r="310" spans="1:33" s="11" customFormat="1" x14ac:dyDescent="0.2">
      <c r="A310" s="8"/>
      <c r="B310" s="8"/>
      <c r="C310" s="8"/>
      <c r="D310" s="8"/>
      <c r="AF310" s="8"/>
      <c r="AG310" s="8"/>
    </row>
    <row r="311" spans="1:33" s="11" customFormat="1" x14ac:dyDescent="0.2">
      <c r="A311" s="8"/>
      <c r="B311" s="8"/>
      <c r="C311" s="8"/>
      <c r="D311" s="8"/>
      <c r="AF311" s="8"/>
      <c r="AG311" s="8"/>
    </row>
    <row r="312" spans="1:33" s="11" customFormat="1" x14ac:dyDescent="0.2">
      <c r="A312" s="8"/>
      <c r="B312" s="8"/>
      <c r="C312" s="8"/>
      <c r="D312" s="8"/>
      <c r="AF312" s="8"/>
      <c r="AG312" s="8"/>
    </row>
    <row r="313" spans="1:33" s="11" customFormat="1" x14ac:dyDescent="0.2">
      <c r="A313" s="8"/>
      <c r="B313" s="8"/>
      <c r="C313" s="8"/>
      <c r="D313" s="8"/>
      <c r="AF313" s="8"/>
      <c r="AG313" s="8"/>
    </row>
    <row r="314" spans="1:33" s="11" customFormat="1" x14ac:dyDescent="0.2">
      <c r="A314" s="8"/>
      <c r="B314" s="8"/>
      <c r="C314" s="8"/>
      <c r="D314" s="8"/>
      <c r="AF314" s="8"/>
      <c r="AG314" s="8"/>
    </row>
    <row r="315" spans="1:33" s="11" customFormat="1" x14ac:dyDescent="0.2">
      <c r="A315" s="8"/>
      <c r="B315" s="8"/>
      <c r="C315" s="8"/>
      <c r="D315" s="8"/>
      <c r="AF315" s="8"/>
      <c r="AG315" s="8"/>
    </row>
    <row r="316" spans="1:33" s="11" customFormat="1" x14ac:dyDescent="0.2">
      <c r="A316" s="8"/>
      <c r="B316" s="8"/>
      <c r="C316" s="8"/>
      <c r="D316" s="8"/>
      <c r="AF316" s="8"/>
      <c r="AG316" s="8"/>
    </row>
    <row r="317" spans="1:33" s="11" customFormat="1" x14ac:dyDescent="0.2">
      <c r="A317" s="8"/>
      <c r="B317" s="8"/>
      <c r="C317" s="8"/>
      <c r="D317" s="8"/>
      <c r="AF317" s="8"/>
      <c r="AG317" s="8"/>
    </row>
    <row r="318" spans="1:33" s="11" customFormat="1" x14ac:dyDescent="0.2">
      <c r="A318" s="8"/>
      <c r="B318" s="8"/>
      <c r="C318" s="8"/>
      <c r="D318" s="8"/>
      <c r="AF318" s="8"/>
      <c r="AG318" s="8"/>
    </row>
    <row r="319" spans="1:33" s="11" customFormat="1" x14ac:dyDescent="0.2">
      <c r="A319" s="8"/>
      <c r="B319" s="8"/>
      <c r="C319" s="8"/>
      <c r="D319" s="8"/>
      <c r="AF319" s="8"/>
      <c r="AG319" s="8"/>
    </row>
    <row r="320" spans="1:33" s="11" customFormat="1" x14ac:dyDescent="0.2">
      <c r="A320" s="8"/>
      <c r="B320" s="8"/>
      <c r="C320" s="8"/>
      <c r="D320" s="8"/>
      <c r="AF320" s="8"/>
      <c r="AG320" s="8"/>
    </row>
    <row r="321" spans="1:33" s="11" customFormat="1" x14ac:dyDescent="0.2">
      <c r="A321" s="8"/>
      <c r="B321" s="8"/>
      <c r="C321" s="8"/>
      <c r="D321" s="8"/>
      <c r="AF321" s="8"/>
      <c r="AG321" s="8"/>
    </row>
    <row r="322" spans="1:33" s="11" customFormat="1" x14ac:dyDescent="0.2">
      <c r="A322" s="8"/>
      <c r="B322" s="8"/>
      <c r="C322" s="8"/>
      <c r="D322" s="8"/>
      <c r="AF322" s="8"/>
      <c r="AG322" s="8"/>
    </row>
    <row r="323" spans="1:33" s="11" customFormat="1" x14ac:dyDescent="0.2">
      <c r="A323" s="8"/>
      <c r="B323" s="8"/>
      <c r="C323" s="8"/>
      <c r="D323" s="8"/>
      <c r="AF323" s="8"/>
      <c r="AG323" s="8"/>
    </row>
    <row r="324" spans="1:33" s="11" customFormat="1" x14ac:dyDescent="0.2">
      <c r="A324" s="8"/>
      <c r="B324" s="8"/>
      <c r="C324" s="8"/>
      <c r="D324" s="8"/>
      <c r="AF324" s="8"/>
      <c r="AG324" s="8"/>
    </row>
    <row r="325" spans="1:33" s="11" customFormat="1" x14ac:dyDescent="0.2">
      <c r="A325" s="8"/>
      <c r="B325" s="8"/>
      <c r="C325" s="8"/>
      <c r="D325" s="8"/>
      <c r="AF325" s="8"/>
      <c r="AG325" s="8"/>
    </row>
    <row r="326" spans="1:33" s="11" customFormat="1" x14ac:dyDescent="0.2">
      <c r="A326" s="8"/>
      <c r="B326" s="8"/>
      <c r="C326" s="8"/>
      <c r="D326" s="8"/>
      <c r="AF326" s="8"/>
      <c r="AG326" s="8"/>
    </row>
    <row r="327" spans="1:33" s="11" customFormat="1" x14ac:dyDescent="0.2">
      <c r="A327" s="8"/>
      <c r="B327" s="8"/>
      <c r="C327" s="8"/>
      <c r="D327" s="8"/>
      <c r="AF327" s="8"/>
      <c r="AG327" s="8"/>
    </row>
    <row r="328" spans="1:33" s="11" customFormat="1" x14ac:dyDescent="0.2">
      <c r="A328" s="8"/>
      <c r="B328" s="8"/>
      <c r="C328" s="8"/>
      <c r="D328" s="8"/>
      <c r="AF328" s="8"/>
      <c r="AG328" s="8"/>
    </row>
    <row r="329" spans="1:33" s="11" customFormat="1" x14ac:dyDescent="0.2">
      <c r="A329" s="8"/>
      <c r="B329" s="8"/>
      <c r="C329" s="8"/>
      <c r="D329" s="8"/>
      <c r="AF329" s="8"/>
      <c r="AG329" s="8"/>
    </row>
    <row r="330" spans="1:33" s="11" customFormat="1" x14ac:dyDescent="0.2">
      <c r="A330" s="8"/>
      <c r="B330" s="8"/>
      <c r="C330" s="8"/>
      <c r="D330" s="8"/>
      <c r="AF330" s="8"/>
      <c r="AG330" s="8"/>
    </row>
    <row r="331" spans="1:33" s="11" customFormat="1" x14ac:dyDescent="0.2">
      <c r="A331" s="8"/>
      <c r="B331" s="8"/>
      <c r="C331" s="8"/>
      <c r="D331" s="8"/>
      <c r="AF331" s="8"/>
      <c r="AG331" s="8"/>
    </row>
    <row r="332" spans="1:33" s="11" customFormat="1" x14ac:dyDescent="0.2">
      <c r="A332" s="8"/>
      <c r="B332" s="8"/>
      <c r="C332" s="8"/>
      <c r="D332" s="8"/>
      <c r="AF332" s="8"/>
      <c r="AG332" s="8"/>
    </row>
    <row r="333" spans="1:33" s="11" customFormat="1" x14ac:dyDescent="0.2">
      <c r="A333" s="8"/>
      <c r="B333" s="8"/>
      <c r="C333" s="8"/>
      <c r="D333" s="8"/>
      <c r="AF333" s="8"/>
      <c r="AG333" s="8"/>
    </row>
    <row r="334" spans="1:33" s="11" customFormat="1" x14ac:dyDescent="0.2">
      <c r="A334" s="8"/>
      <c r="B334" s="8"/>
      <c r="C334" s="8"/>
      <c r="D334" s="8"/>
      <c r="AF334" s="8"/>
      <c r="AG334" s="8"/>
    </row>
    <row r="335" spans="1:33" s="11" customFormat="1" x14ac:dyDescent="0.2">
      <c r="A335" s="8"/>
      <c r="B335" s="8"/>
      <c r="C335" s="8"/>
      <c r="D335" s="8"/>
      <c r="AF335" s="8"/>
      <c r="AG335" s="8"/>
    </row>
    <row r="336" spans="1:33" s="11" customFormat="1" x14ac:dyDescent="0.2">
      <c r="A336" s="8"/>
      <c r="B336" s="8"/>
      <c r="C336" s="8"/>
      <c r="D336" s="8"/>
      <c r="AF336" s="8"/>
      <c r="AG336" s="8"/>
    </row>
    <row r="337" spans="1:33" s="11" customFormat="1" x14ac:dyDescent="0.2">
      <c r="A337" s="8"/>
      <c r="B337" s="8"/>
      <c r="C337" s="8"/>
      <c r="D337" s="8"/>
      <c r="AF337" s="8"/>
      <c r="AG337" s="8"/>
    </row>
    <row r="338" spans="1:33" s="11" customFormat="1" x14ac:dyDescent="0.2">
      <c r="A338" s="8"/>
      <c r="B338" s="8"/>
      <c r="C338" s="8"/>
      <c r="D338" s="8"/>
      <c r="AF338" s="8"/>
      <c r="AG338" s="8"/>
    </row>
    <row r="339" spans="1:33" s="11" customFormat="1" x14ac:dyDescent="0.2">
      <c r="A339" s="8"/>
      <c r="B339" s="8"/>
      <c r="C339" s="8"/>
      <c r="D339" s="8"/>
      <c r="AF339" s="8"/>
      <c r="AG339" s="8"/>
    </row>
    <row r="340" spans="1:33" s="11" customFormat="1" x14ac:dyDescent="0.2">
      <c r="A340" s="8"/>
      <c r="B340" s="8"/>
      <c r="C340" s="8"/>
      <c r="D340" s="8"/>
      <c r="AF340" s="8"/>
      <c r="AG340" s="8"/>
    </row>
    <row r="341" spans="1:33" s="11" customFormat="1" x14ac:dyDescent="0.2">
      <c r="A341" s="8"/>
      <c r="B341" s="8"/>
      <c r="C341" s="8"/>
      <c r="D341" s="8"/>
      <c r="AF341" s="8"/>
      <c r="AG341" s="8"/>
    </row>
    <row r="342" spans="1:33" s="11" customFormat="1" x14ac:dyDescent="0.2">
      <c r="A342" s="8"/>
      <c r="B342" s="8"/>
      <c r="C342" s="8"/>
      <c r="D342" s="8"/>
      <c r="AF342" s="8"/>
      <c r="AG342" s="8"/>
    </row>
    <row r="343" spans="1:33" s="11" customFormat="1" x14ac:dyDescent="0.2">
      <c r="A343" s="8"/>
      <c r="B343" s="8"/>
      <c r="C343" s="8"/>
      <c r="D343" s="8"/>
      <c r="AF343" s="8"/>
      <c r="AG343" s="8"/>
    </row>
    <row r="344" spans="1:33" s="11" customFormat="1" x14ac:dyDescent="0.2">
      <c r="A344" s="8"/>
      <c r="B344" s="8"/>
      <c r="C344" s="8"/>
      <c r="D344" s="8"/>
      <c r="AF344" s="8"/>
      <c r="AG344" s="8"/>
    </row>
    <row r="345" spans="1:33" s="11" customFormat="1" x14ac:dyDescent="0.2">
      <c r="A345" s="8"/>
      <c r="B345" s="8"/>
      <c r="C345" s="8"/>
      <c r="D345" s="8"/>
      <c r="AF345" s="8"/>
      <c r="AG345" s="8"/>
    </row>
    <row r="346" spans="1:33" s="11" customFormat="1" x14ac:dyDescent="0.2">
      <c r="A346" s="8"/>
      <c r="B346" s="8"/>
      <c r="C346" s="8"/>
      <c r="D346" s="8"/>
      <c r="AF346" s="8"/>
      <c r="AG346" s="8"/>
    </row>
    <row r="347" spans="1:33" s="11" customFormat="1" x14ac:dyDescent="0.2">
      <c r="A347" s="8"/>
      <c r="B347" s="8"/>
      <c r="C347" s="8"/>
      <c r="D347" s="8"/>
      <c r="AF347" s="8"/>
      <c r="AG347" s="8"/>
    </row>
    <row r="350" spans="1:33" ht="18" customHeight="1" x14ac:dyDescent="0.2">
      <c r="A350" s="30" t="s">
        <v>287</v>
      </c>
      <c r="B350" s="30" t="s">
        <v>17</v>
      </c>
      <c r="C350" s="4">
        <v>0</v>
      </c>
      <c r="D350" s="4">
        <v>0</v>
      </c>
      <c r="F350" s="106" t="s">
        <v>288</v>
      </c>
      <c r="H350" s="61">
        <v>0</v>
      </c>
      <c r="I350" s="61">
        <v>0</v>
      </c>
      <c r="J350" s="61">
        <v>0</v>
      </c>
      <c r="K350" s="86">
        <v>0</v>
      </c>
      <c r="L350" s="86">
        <v>0</v>
      </c>
      <c r="M350" s="61">
        <v>0</v>
      </c>
      <c r="N350" s="61">
        <v>0</v>
      </c>
      <c r="O350" s="61">
        <v>0</v>
      </c>
      <c r="P350" s="61">
        <v>0</v>
      </c>
      <c r="Q350" s="61">
        <v>0</v>
      </c>
      <c r="R350" s="61">
        <v>0</v>
      </c>
      <c r="S350" s="61">
        <v>0</v>
      </c>
      <c r="T350" s="61">
        <v>0</v>
      </c>
      <c r="U350" s="61">
        <v>0</v>
      </c>
      <c r="V350" s="61">
        <v>0</v>
      </c>
      <c r="W350" s="61">
        <v>0</v>
      </c>
      <c r="X350" s="61">
        <v>0</v>
      </c>
      <c r="Y350" s="61">
        <v>0</v>
      </c>
      <c r="AA350" s="61">
        <v>0</v>
      </c>
      <c r="AB350" s="20"/>
      <c r="AD350" s="61">
        <v>0</v>
      </c>
      <c r="AE350" s="20"/>
    </row>
    <row r="351" spans="1:33" ht="18" hidden="1" customHeight="1" outlineLevel="1" x14ac:dyDescent="0.2">
      <c r="A351" s="30" t="s">
        <v>291</v>
      </c>
      <c r="B351" s="30" t="s">
        <v>17</v>
      </c>
      <c r="C351" s="4">
        <v>0</v>
      </c>
      <c r="D351" s="4">
        <v>0</v>
      </c>
      <c r="F351" s="106" t="s">
        <v>290</v>
      </c>
      <c r="H351" s="61">
        <v>3277.9679999999998</v>
      </c>
      <c r="I351" s="61">
        <v>2717.9070000000002</v>
      </c>
      <c r="J351" s="61">
        <v>2717.9070000000002</v>
      </c>
      <c r="K351" s="86">
        <v>2849.3879999999999</v>
      </c>
      <c r="L351" s="86">
        <v>2827.9839999999999</v>
      </c>
      <c r="M351" s="61">
        <v>223.49299999999999</v>
      </c>
      <c r="N351" s="61">
        <v>468.27199999999999</v>
      </c>
      <c r="O351" s="61">
        <v>737.70500000000004</v>
      </c>
      <c r="P351" s="61">
        <v>962.55899999999997</v>
      </c>
      <c r="Q351" s="61">
        <v>1165.796</v>
      </c>
      <c r="R351" s="61">
        <v>1417.64</v>
      </c>
      <c r="S351" s="61">
        <v>1591.2059999999999</v>
      </c>
      <c r="T351" s="61">
        <v>1771.171</v>
      </c>
      <c r="U351" s="61">
        <v>2004.5840000000001</v>
      </c>
      <c r="V351" s="61">
        <v>2281.2089999999998</v>
      </c>
      <c r="W351" s="61">
        <v>2538.5659999999998</v>
      </c>
      <c r="X351" s="61">
        <v>2745.482</v>
      </c>
      <c r="Y351" s="61">
        <v>2745.482</v>
      </c>
      <c r="AA351" s="61">
        <v>2849.3880000000004</v>
      </c>
      <c r="AB351" s="20"/>
      <c r="AD351" s="61">
        <v>2827.9839999999999</v>
      </c>
      <c r="AE351" s="20"/>
    </row>
    <row r="352" spans="1:33" ht="18" customHeight="1" collapsed="1" x14ac:dyDescent="0.2">
      <c r="A352" s="30" t="s">
        <v>287</v>
      </c>
      <c r="B352" s="30" t="s">
        <v>17</v>
      </c>
      <c r="C352" s="4">
        <v>0</v>
      </c>
      <c r="D352" s="4">
        <v>0</v>
      </c>
      <c r="F352" s="107" t="s">
        <v>289</v>
      </c>
      <c r="H352" s="78">
        <v>0</v>
      </c>
      <c r="I352" s="78">
        <v>0</v>
      </c>
      <c r="J352" s="78">
        <v>0</v>
      </c>
      <c r="K352" s="87">
        <v>0</v>
      </c>
      <c r="L352" s="87">
        <v>0</v>
      </c>
      <c r="M352" s="78">
        <v>0</v>
      </c>
      <c r="N352" s="78">
        <v>0</v>
      </c>
      <c r="O352" s="78">
        <v>0</v>
      </c>
      <c r="P352" s="78">
        <v>0</v>
      </c>
      <c r="Q352" s="78">
        <v>0</v>
      </c>
      <c r="R352" s="78">
        <v>0</v>
      </c>
      <c r="S352" s="78">
        <v>0</v>
      </c>
      <c r="T352" s="78">
        <v>0</v>
      </c>
      <c r="U352" s="78">
        <v>0</v>
      </c>
      <c r="V352" s="78">
        <v>0</v>
      </c>
      <c r="W352" s="78">
        <v>0</v>
      </c>
      <c r="X352" s="78">
        <v>0</v>
      </c>
      <c r="Y352" s="78">
        <v>0</v>
      </c>
      <c r="AA352" s="78">
        <v>0</v>
      </c>
      <c r="AB352" s="20"/>
      <c r="AD352" s="78">
        <v>0</v>
      </c>
      <c r="AE352" s="20"/>
    </row>
    <row r="353" spans="1:31" ht="15" x14ac:dyDescent="0.2">
      <c r="A353" s="4"/>
      <c r="B353" s="4"/>
      <c r="C353" s="4"/>
      <c r="D353" s="4"/>
      <c r="F353" s="96"/>
      <c r="H353" s="16"/>
      <c r="I353" s="16"/>
      <c r="J353" s="16"/>
      <c r="K353" s="85"/>
      <c r="L353" s="85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AA353" s="16"/>
      <c r="AB353" s="20"/>
      <c r="AD353" s="16"/>
      <c r="AE353" s="20"/>
    </row>
    <row r="354" spans="1:31" ht="18" customHeight="1" x14ac:dyDescent="0.2">
      <c r="A354" s="30" t="s">
        <v>293</v>
      </c>
      <c r="B354" s="30" t="s">
        <v>17</v>
      </c>
      <c r="C354" s="4">
        <v>0</v>
      </c>
      <c r="D354" s="4">
        <v>0</v>
      </c>
      <c r="F354" s="106" t="s">
        <v>357</v>
      </c>
      <c r="H354" s="61">
        <v>0</v>
      </c>
      <c r="I354" s="61">
        <v>0</v>
      </c>
      <c r="J354" s="61">
        <v>0</v>
      </c>
      <c r="K354" s="88"/>
      <c r="L354" s="88"/>
      <c r="M354" s="61">
        <v>0</v>
      </c>
      <c r="N354" s="61">
        <v>0</v>
      </c>
      <c r="O354" s="61">
        <v>0</v>
      </c>
      <c r="P354" s="61">
        <v>0</v>
      </c>
      <c r="Q354" s="61">
        <v>0</v>
      </c>
      <c r="R354" s="61">
        <v>0</v>
      </c>
      <c r="S354" s="61">
        <v>0</v>
      </c>
      <c r="T354" s="61">
        <v>0</v>
      </c>
      <c r="U354" s="61">
        <v>0</v>
      </c>
      <c r="V354" s="61">
        <v>0</v>
      </c>
      <c r="W354" s="61">
        <v>0</v>
      </c>
      <c r="X354" s="61">
        <v>0</v>
      </c>
      <c r="Y354" s="61">
        <v>0</v>
      </c>
      <c r="AA354" s="16"/>
      <c r="AB354" s="20"/>
      <c r="AD354" s="16"/>
      <c r="AE354" s="20"/>
    </row>
    <row r="355" spans="1:31" ht="18" customHeight="1" x14ac:dyDescent="0.2">
      <c r="A355" s="30" t="s">
        <v>294</v>
      </c>
      <c r="B355" s="30" t="s">
        <v>17</v>
      </c>
      <c r="C355" s="4">
        <v>0</v>
      </c>
      <c r="D355" s="4">
        <v>0</v>
      </c>
      <c r="F355" s="106" t="s">
        <v>358</v>
      </c>
      <c r="H355" s="61">
        <v>0</v>
      </c>
      <c r="I355" s="61">
        <v>0</v>
      </c>
      <c r="J355" s="61">
        <v>0</v>
      </c>
      <c r="K355" s="88"/>
      <c r="L355" s="88"/>
      <c r="M355" s="61">
        <v>0</v>
      </c>
      <c r="N355" s="61">
        <v>0</v>
      </c>
      <c r="O355" s="61">
        <v>0</v>
      </c>
      <c r="P355" s="61">
        <v>0</v>
      </c>
      <c r="Q355" s="61">
        <v>0</v>
      </c>
      <c r="R355" s="61">
        <v>0</v>
      </c>
      <c r="S355" s="61">
        <v>0</v>
      </c>
      <c r="T355" s="61">
        <v>0</v>
      </c>
      <c r="U355" s="61">
        <v>0</v>
      </c>
      <c r="V355" s="61">
        <v>0</v>
      </c>
      <c r="W355" s="61">
        <v>0</v>
      </c>
      <c r="X355" s="61">
        <v>0</v>
      </c>
      <c r="Y355" s="61">
        <v>0</v>
      </c>
      <c r="AA355" s="16"/>
      <c r="AB355" s="20"/>
      <c r="AD355" s="16"/>
      <c r="AE355" s="20"/>
    </row>
    <row r="356" spans="1:31" ht="18" customHeight="1" x14ac:dyDescent="0.2">
      <c r="A356" s="30" t="s">
        <v>295</v>
      </c>
      <c r="B356" s="30" t="s">
        <v>17</v>
      </c>
      <c r="C356" s="4">
        <v>0</v>
      </c>
      <c r="D356" s="4">
        <v>0</v>
      </c>
      <c r="F356" s="106" t="s">
        <v>359</v>
      </c>
      <c r="H356" s="61">
        <v>0</v>
      </c>
      <c r="I356" s="61">
        <v>0</v>
      </c>
      <c r="J356" s="61">
        <v>0</v>
      </c>
      <c r="K356" s="88"/>
      <c r="L356" s="88"/>
      <c r="M356" s="61">
        <v>0</v>
      </c>
      <c r="N356" s="61">
        <v>0</v>
      </c>
      <c r="O356" s="61">
        <v>0</v>
      </c>
      <c r="P356" s="61">
        <v>0</v>
      </c>
      <c r="Q356" s="61">
        <v>0</v>
      </c>
      <c r="R356" s="61">
        <v>0</v>
      </c>
      <c r="S356" s="61">
        <v>0</v>
      </c>
      <c r="T356" s="61">
        <v>0</v>
      </c>
      <c r="U356" s="61">
        <v>0</v>
      </c>
      <c r="V356" s="61">
        <v>0</v>
      </c>
      <c r="W356" s="61">
        <v>0</v>
      </c>
      <c r="X356" s="61">
        <v>0</v>
      </c>
      <c r="Y356" s="61">
        <v>0</v>
      </c>
      <c r="AA356" s="16"/>
      <c r="AB356" s="20"/>
      <c r="AD356" s="16"/>
      <c r="AE356" s="20"/>
    </row>
    <row r="357" spans="1:31" ht="18" customHeight="1" x14ac:dyDescent="0.2">
      <c r="A357" s="30" t="s">
        <v>296</v>
      </c>
      <c r="B357" s="30" t="s">
        <v>17</v>
      </c>
      <c r="C357" s="4">
        <v>0</v>
      </c>
      <c r="D357" s="4">
        <v>0</v>
      </c>
      <c r="F357" s="106" t="s">
        <v>360</v>
      </c>
      <c r="H357" s="61">
        <v>0</v>
      </c>
      <c r="I357" s="61">
        <v>0</v>
      </c>
      <c r="J357" s="61">
        <v>0</v>
      </c>
      <c r="K357" s="88"/>
      <c r="L357" s="88"/>
      <c r="M357" s="61">
        <v>0</v>
      </c>
      <c r="N357" s="61">
        <v>0</v>
      </c>
      <c r="O357" s="61">
        <v>0</v>
      </c>
      <c r="P357" s="61">
        <v>0</v>
      </c>
      <c r="Q357" s="61">
        <v>0</v>
      </c>
      <c r="R357" s="61">
        <v>0</v>
      </c>
      <c r="S357" s="61">
        <v>0</v>
      </c>
      <c r="T357" s="61">
        <v>0</v>
      </c>
      <c r="U357" s="61">
        <v>0</v>
      </c>
      <c r="V357" s="61">
        <v>0</v>
      </c>
      <c r="W357" s="61">
        <v>0</v>
      </c>
      <c r="X357" s="61">
        <v>0</v>
      </c>
      <c r="Y357" s="61">
        <v>0</v>
      </c>
      <c r="AA357" s="16"/>
      <c r="AB357" s="20"/>
      <c r="AD357" s="16"/>
      <c r="AE357" s="20"/>
    </row>
    <row r="358" spans="1:31" ht="18" customHeight="1" x14ac:dyDescent="0.2">
      <c r="A358" s="30" t="s">
        <v>297</v>
      </c>
      <c r="B358" s="30" t="s">
        <v>17</v>
      </c>
      <c r="C358" s="4">
        <v>0</v>
      </c>
      <c r="D358" s="4">
        <v>0</v>
      </c>
      <c r="F358" s="106" t="s">
        <v>361</v>
      </c>
      <c r="H358" s="61">
        <v>0</v>
      </c>
      <c r="I358" s="61">
        <v>0</v>
      </c>
      <c r="J358" s="61">
        <v>0</v>
      </c>
      <c r="K358" s="88"/>
      <c r="L358" s="88"/>
      <c r="M358" s="61">
        <v>0</v>
      </c>
      <c r="N358" s="61">
        <v>0</v>
      </c>
      <c r="O358" s="61">
        <v>0</v>
      </c>
      <c r="P358" s="61">
        <v>0</v>
      </c>
      <c r="Q358" s="61">
        <v>0</v>
      </c>
      <c r="R358" s="61">
        <v>0</v>
      </c>
      <c r="S358" s="61">
        <v>0</v>
      </c>
      <c r="T358" s="61">
        <v>0</v>
      </c>
      <c r="U358" s="61">
        <v>0</v>
      </c>
      <c r="V358" s="61">
        <v>0</v>
      </c>
      <c r="W358" s="61">
        <v>0</v>
      </c>
      <c r="X358" s="61">
        <v>0</v>
      </c>
      <c r="Y358" s="61">
        <v>0</v>
      </c>
      <c r="AA358" s="16"/>
      <c r="AB358" s="20"/>
      <c r="AD358" s="16"/>
      <c r="AE358" s="20"/>
    </row>
    <row r="359" spans="1:31" ht="18" customHeight="1" collapsed="1" x14ac:dyDescent="0.2">
      <c r="A359" s="30" t="s">
        <v>292</v>
      </c>
      <c r="B359" s="30" t="s">
        <v>17</v>
      </c>
      <c r="C359" s="4">
        <v>0</v>
      </c>
      <c r="D359" s="4">
        <v>0</v>
      </c>
      <c r="F359" s="107" t="s">
        <v>362</v>
      </c>
      <c r="H359" s="79">
        <v>0</v>
      </c>
      <c r="I359" s="79">
        <v>0</v>
      </c>
      <c r="J359" s="79">
        <v>0</v>
      </c>
      <c r="K359" s="89"/>
      <c r="L359" s="89"/>
      <c r="M359" s="79">
        <v>0</v>
      </c>
      <c r="N359" s="79">
        <v>0</v>
      </c>
      <c r="O359" s="79">
        <v>0</v>
      </c>
      <c r="P359" s="79">
        <v>0</v>
      </c>
      <c r="Q359" s="79">
        <v>0</v>
      </c>
      <c r="R359" s="79">
        <v>0</v>
      </c>
      <c r="S359" s="79">
        <v>0</v>
      </c>
      <c r="T359" s="79">
        <v>0</v>
      </c>
      <c r="U359" s="79">
        <v>0</v>
      </c>
      <c r="V359" s="79">
        <v>0</v>
      </c>
      <c r="W359" s="79">
        <v>0</v>
      </c>
      <c r="X359" s="79">
        <v>0</v>
      </c>
      <c r="Y359" s="79">
        <v>0</v>
      </c>
      <c r="AA359" s="16"/>
      <c r="AB359" s="20"/>
      <c r="AD359" s="16"/>
      <c r="AE359" s="20"/>
    </row>
    <row r="360" spans="1:31" ht="15" x14ac:dyDescent="0.2">
      <c r="A360" s="4"/>
      <c r="B360" s="4"/>
      <c r="C360" s="4"/>
      <c r="D360" s="4"/>
      <c r="F360" s="96"/>
      <c r="H360" s="16"/>
      <c r="I360" s="16"/>
      <c r="J360" s="16"/>
      <c r="K360" s="85"/>
      <c r="L360" s="85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AA360" s="16"/>
      <c r="AB360" s="20"/>
      <c r="AD360" s="16"/>
      <c r="AE360" s="20"/>
    </row>
    <row r="361" spans="1:31" ht="18" hidden="1" customHeight="1" outlineLevel="1" x14ac:dyDescent="0.2">
      <c r="A361" s="30" t="s">
        <v>112</v>
      </c>
      <c r="B361" s="30" t="s">
        <v>17</v>
      </c>
      <c r="C361" s="4">
        <v>0</v>
      </c>
      <c r="D361" s="4">
        <v>0</v>
      </c>
      <c r="F361" s="50" t="s">
        <v>113</v>
      </c>
      <c r="H361" s="60">
        <v>0</v>
      </c>
      <c r="I361" s="60">
        <v>0</v>
      </c>
      <c r="J361" s="60">
        <v>0</v>
      </c>
      <c r="K361" s="90">
        <v>0</v>
      </c>
      <c r="L361" s="90">
        <v>0</v>
      </c>
      <c r="M361" s="60">
        <v>0</v>
      </c>
      <c r="N361" s="60">
        <v>0</v>
      </c>
      <c r="O361" s="60">
        <v>0</v>
      </c>
      <c r="P361" s="60">
        <v>0</v>
      </c>
      <c r="Q361" s="60">
        <v>0</v>
      </c>
      <c r="R361" s="60">
        <v>0</v>
      </c>
      <c r="S361" s="60">
        <v>0</v>
      </c>
      <c r="T361" s="60">
        <v>0</v>
      </c>
      <c r="U361" s="60">
        <v>0</v>
      </c>
      <c r="V361" s="60">
        <v>0</v>
      </c>
      <c r="W361" s="60">
        <v>0</v>
      </c>
      <c r="X361" s="60">
        <v>0</v>
      </c>
      <c r="Y361" s="60">
        <v>0</v>
      </c>
      <c r="AA361" s="60">
        <v>0</v>
      </c>
      <c r="AB361" s="60">
        <v>0</v>
      </c>
      <c r="AD361" s="60">
        <v>0</v>
      </c>
      <c r="AE361" s="60">
        <v>0</v>
      </c>
    </row>
    <row r="362" spans="1:31" ht="12.95" hidden="1" customHeight="1" outlineLevel="1" x14ac:dyDescent="0.2">
      <c r="A362" s="35"/>
      <c r="B362" s="35"/>
      <c r="C362" s="4"/>
      <c r="D362" s="4"/>
      <c r="F362" s="51" t="s">
        <v>114</v>
      </c>
      <c r="H362" s="80">
        <v>0</v>
      </c>
      <c r="I362" s="80">
        <v>0</v>
      </c>
      <c r="J362" s="80">
        <v>0</v>
      </c>
      <c r="K362" s="91">
        <v>0</v>
      </c>
      <c r="L362" s="91">
        <v>0</v>
      </c>
      <c r="M362" s="80">
        <v>0</v>
      </c>
      <c r="N362" s="80">
        <v>0</v>
      </c>
      <c r="O362" s="80">
        <v>0</v>
      </c>
      <c r="P362" s="80">
        <v>0</v>
      </c>
      <c r="Q362" s="80">
        <v>0</v>
      </c>
      <c r="R362" s="80">
        <v>0</v>
      </c>
      <c r="S362" s="80">
        <v>0</v>
      </c>
      <c r="T362" s="80">
        <v>0</v>
      </c>
      <c r="U362" s="80">
        <v>0</v>
      </c>
      <c r="V362" s="80">
        <v>0</v>
      </c>
      <c r="W362" s="80">
        <v>0</v>
      </c>
      <c r="X362" s="80">
        <v>0</v>
      </c>
      <c r="Y362" s="80">
        <v>0</v>
      </c>
      <c r="AA362" s="80">
        <v>0</v>
      </c>
      <c r="AB362" s="69"/>
      <c r="AD362" s="80">
        <v>0</v>
      </c>
      <c r="AE362" s="69"/>
    </row>
    <row r="363" spans="1:31" ht="18" hidden="1" customHeight="1" outlineLevel="1" x14ac:dyDescent="0.2">
      <c r="A363" s="33" t="s">
        <v>100</v>
      </c>
      <c r="B363" s="33" t="s">
        <v>17</v>
      </c>
      <c r="C363" s="4"/>
      <c r="D363" s="4"/>
      <c r="F363" s="38" t="s">
        <v>103</v>
      </c>
      <c r="H363" s="66">
        <v>0</v>
      </c>
      <c r="I363" s="66">
        <v>0</v>
      </c>
      <c r="J363" s="66">
        <v>0</v>
      </c>
      <c r="K363" s="86">
        <v>0</v>
      </c>
      <c r="L363" s="86">
        <v>0</v>
      </c>
      <c r="M363" s="66">
        <v>0</v>
      </c>
      <c r="N363" s="66">
        <v>0</v>
      </c>
      <c r="O363" s="66">
        <v>0</v>
      </c>
      <c r="P363" s="66">
        <v>0</v>
      </c>
      <c r="Q363" s="66">
        <v>0</v>
      </c>
      <c r="R363" s="66">
        <v>0</v>
      </c>
      <c r="S363" s="66">
        <v>0</v>
      </c>
      <c r="T363" s="66">
        <v>0</v>
      </c>
      <c r="U363" s="66">
        <v>0</v>
      </c>
      <c r="V363" s="66">
        <v>0</v>
      </c>
      <c r="W363" s="66">
        <v>0</v>
      </c>
      <c r="X363" s="66">
        <v>0</v>
      </c>
      <c r="Y363" s="66">
        <v>0</v>
      </c>
      <c r="AA363" s="66">
        <v>0</v>
      </c>
      <c r="AB363" s="60">
        <v>0</v>
      </c>
      <c r="AD363" s="66">
        <v>0</v>
      </c>
      <c r="AE363" s="60">
        <v>0</v>
      </c>
    </row>
    <row r="364" spans="1:31" ht="18" hidden="1" customHeight="1" outlineLevel="1" x14ac:dyDescent="0.2">
      <c r="A364" s="33" t="s">
        <v>101</v>
      </c>
      <c r="B364" s="33" t="s">
        <v>102</v>
      </c>
      <c r="C364" s="4"/>
      <c r="D364" s="4"/>
      <c r="F364" s="38" t="s">
        <v>104</v>
      </c>
      <c r="H364" s="66">
        <v>0</v>
      </c>
      <c r="I364" s="66">
        <v>0</v>
      </c>
      <c r="J364" s="66">
        <v>0</v>
      </c>
      <c r="K364" s="86">
        <v>0</v>
      </c>
      <c r="L364" s="86">
        <v>0</v>
      </c>
      <c r="M364" s="66">
        <v>0</v>
      </c>
      <c r="N364" s="66">
        <v>0</v>
      </c>
      <c r="O364" s="66">
        <v>0</v>
      </c>
      <c r="P364" s="66">
        <v>0</v>
      </c>
      <c r="Q364" s="66">
        <v>0</v>
      </c>
      <c r="R364" s="66">
        <v>0</v>
      </c>
      <c r="S364" s="66">
        <v>0</v>
      </c>
      <c r="T364" s="66">
        <v>0</v>
      </c>
      <c r="U364" s="66">
        <v>0</v>
      </c>
      <c r="V364" s="66">
        <v>0</v>
      </c>
      <c r="W364" s="66">
        <v>0</v>
      </c>
      <c r="X364" s="66">
        <v>0</v>
      </c>
      <c r="Y364" s="66">
        <v>0</v>
      </c>
      <c r="AA364" s="66">
        <v>0</v>
      </c>
      <c r="AB364" s="60">
        <v>0</v>
      </c>
      <c r="AD364" s="66">
        <v>0</v>
      </c>
      <c r="AE364" s="60">
        <v>0</v>
      </c>
    </row>
    <row r="365" spans="1:31" ht="18" customHeight="1" collapsed="1" x14ac:dyDescent="0.2">
      <c r="A365" s="32"/>
      <c r="B365" s="32"/>
      <c r="C365" s="4">
        <v>0</v>
      </c>
      <c r="D365" s="4">
        <v>0</v>
      </c>
      <c r="F365" s="107" t="s">
        <v>105</v>
      </c>
      <c r="G365" s="7"/>
      <c r="H365" s="58">
        <v>0</v>
      </c>
      <c r="I365" s="58">
        <v>0</v>
      </c>
      <c r="J365" s="58">
        <v>0</v>
      </c>
      <c r="K365" s="92">
        <v>0</v>
      </c>
      <c r="L365" s="92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AA365" s="58">
        <v>0</v>
      </c>
      <c r="AB365" s="60">
        <v>0</v>
      </c>
      <c r="AD365" s="58">
        <v>0</v>
      </c>
      <c r="AE365" s="60">
        <v>0</v>
      </c>
    </row>
    <row r="366" spans="1:31" ht="18" customHeight="1" x14ac:dyDescent="0.2">
      <c r="A366" s="32"/>
      <c r="B366" s="32"/>
      <c r="C366" s="4"/>
      <c r="D366" s="4"/>
      <c r="F366" s="191" t="s">
        <v>402</v>
      </c>
      <c r="G366" s="7"/>
      <c r="H366" s="194">
        <v>0</v>
      </c>
      <c r="I366" s="194">
        <v>0</v>
      </c>
      <c r="J366" s="194">
        <v>0</v>
      </c>
      <c r="K366" s="194">
        <v>0</v>
      </c>
      <c r="L366" s="194">
        <v>0</v>
      </c>
      <c r="M366" s="194">
        <v>0</v>
      </c>
      <c r="N366" s="194">
        <v>0</v>
      </c>
      <c r="O366" s="194">
        <v>0</v>
      </c>
      <c r="P366" s="194">
        <v>0</v>
      </c>
      <c r="Q366" s="194">
        <v>0</v>
      </c>
      <c r="R366" s="194">
        <v>0</v>
      </c>
      <c r="S366" s="194">
        <v>0</v>
      </c>
      <c r="T366" s="194">
        <v>0</v>
      </c>
      <c r="U366" s="194">
        <v>0</v>
      </c>
      <c r="V366" s="194">
        <v>0</v>
      </c>
      <c r="W366" s="194">
        <v>0</v>
      </c>
      <c r="X366" s="194">
        <v>0</v>
      </c>
      <c r="Y366" s="194">
        <v>0</v>
      </c>
      <c r="AA366" s="20"/>
      <c r="AB366" s="190"/>
      <c r="AD366" s="190"/>
      <c r="AE366" s="190"/>
    </row>
    <row r="367" spans="1:31" ht="18" hidden="1" customHeight="1" outlineLevel="1" x14ac:dyDescent="0.2">
      <c r="A367" s="192" t="s">
        <v>101</v>
      </c>
      <c r="B367" s="192" t="s">
        <v>403</v>
      </c>
      <c r="C367" s="4"/>
      <c r="D367" s="4"/>
      <c r="F367" s="193" t="s">
        <v>404</v>
      </c>
      <c r="G367" s="7"/>
      <c r="H367" s="66">
        <v>0</v>
      </c>
      <c r="I367" s="66">
        <v>0</v>
      </c>
      <c r="J367" s="66">
        <v>0</v>
      </c>
      <c r="K367" s="86">
        <v>0</v>
      </c>
      <c r="L367" s="86">
        <v>0</v>
      </c>
      <c r="M367" s="66">
        <v>0</v>
      </c>
      <c r="N367" s="66">
        <v>0</v>
      </c>
      <c r="O367" s="66">
        <v>0</v>
      </c>
      <c r="P367" s="66">
        <v>0</v>
      </c>
      <c r="Q367" s="66">
        <v>0</v>
      </c>
      <c r="R367" s="66">
        <v>0</v>
      </c>
      <c r="S367" s="66">
        <v>0</v>
      </c>
      <c r="T367" s="66">
        <v>0</v>
      </c>
      <c r="U367" s="66">
        <v>0</v>
      </c>
      <c r="V367" s="66">
        <v>0</v>
      </c>
      <c r="W367" s="66">
        <v>0</v>
      </c>
      <c r="X367" s="66">
        <v>0</v>
      </c>
      <c r="Y367" s="66">
        <v>0</v>
      </c>
      <c r="AA367" s="20"/>
      <c r="AB367" s="190"/>
      <c r="AD367" s="189"/>
      <c r="AE367" s="190"/>
    </row>
    <row r="368" spans="1:31" ht="18" hidden="1" customHeight="1" outlineLevel="1" x14ac:dyDescent="0.2">
      <c r="A368" s="192" t="s">
        <v>405</v>
      </c>
      <c r="B368" s="192" t="s">
        <v>17</v>
      </c>
      <c r="C368" s="4"/>
      <c r="D368" s="4"/>
      <c r="F368" s="193" t="s">
        <v>406</v>
      </c>
      <c r="G368" s="7"/>
      <c r="H368" s="66">
        <v>0</v>
      </c>
      <c r="I368" s="66">
        <v>0</v>
      </c>
      <c r="J368" s="66">
        <v>0</v>
      </c>
      <c r="K368" s="86">
        <v>0</v>
      </c>
      <c r="L368" s="86">
        <v>0</v>
      </c>
      <c r="M368" s="66">
        <v>0</v>
      </c>
      <c r="N368" s="66">
        <v>0</v>
      </c>
      <c r="O368" s="66">
        <v>0</v>
      </c>
      <c r="P368" s="66">
        <v>0</v>
      </c>
      <c r="Q368" s="66">
        <v>0</v>
      </c>
      <c r="R368" s="66">
        <v>0</v>
      </c>
      <c r="S368" s="66">
        <v>0</v>
      </c>
      <c r="T368" s="66">
        <v>0</v>
      </c>
      <c r="U368" s="66">
        <v>0</v>
      </c>
      <c r="V368" s="66">
        <v>0</v>
      </c>
      <c r="W368" s="66">
        <v>0</v>
      </c>
      <c r="X368" s="66">
        <v>0</v>
      </c>
      <c r="Y368" s="66">
        <v>0</v>
      </c>
      <c r="AA368" s="20"/>
      <c r="AB368" s="190"/>
      <c r="AD368" s="189"/>
      <c r="AE368" s="190"/>
    </row>
    <row r="369" spans="1:33" ht="18" customHeight="1" collapsed="1" x14ac:dyDescent="0.2">
      <c r="A369" s="32"/>
      <c r="B369" s="32"/>
      <c r="C369" s="4"/>
      <c r="D369" s="4"/>
      <c r="F369" s="191" t="s">
        <v>407</v>
      </c>
      <c r="G369" s="7"/>
      <c r="H369" s="194">
        <v>0</v>
      </c>
      <c r="I369" s="194">
        <v>0</v>
      </c>
      <c r="J369" s="194">
        <v>0</v>
      </c>
      <c r="K369" s="194">
        <v>0</v>
      </c>
      <c r="L369" s="194">
        <v>0</v>
      </c>
      <c r="M369" s="194">
        <v>0</v>
      </c>
      <c r="N369" s="194">
        <v>0</v>
      </c>
      <c r="O369" s="194">
        <v>0</v>
      </c>
      <c r="P369" s="194">
        <v>0</v>
      </c>
      <c r="Q369" s="194">
        <v>0</v>
      </c>
      <c r="R369" s="194">
        <v>0</v>
      </c>
      <c r="S369" s="194">
        <v>0</v>
      </c>
      <c r="T369" s="194">
        <v>0</v>
      </c>
      <c r="U369" s="194">
        <v>0</v>
      </c>
      <c r="V369" s="194">
        <v>0</v>
      </c>
      <c r="W369" s="194">
        <v>0</v>
      </c>
      <c r="X369" s="194">
        <v>0</v>
      </c>
      <c r="Y369" s="194">
        <v>0</v>
      </c>
      <c r="AA369" s="20"/>
      <c r="AB369" s="190"/>
      <c r="AD369" s="190"/>
      <c r="AE369" s="190"/>
    </row>
    <row r="370" spans="1:33" ht="18" customHeight="1" x14ac:dyDescent="0.2">
      <c r="A370" s="30" t="s">
        <v>106</v>
      </c>
      <c r="B370" s="30" t="s">
        <v>17</v>
      </c>
      <c r="C370" s="4"/>
      <c r="D370" s="4"/>
      <c r="F370" s="106" t="s">
        <v>108</v>
      </c>
      <c r="H370" s="61">
        <v>0</v>
      </c>
      <c r="I370" s="61">
        <v>0</v>
      </c>
      <c r="J370" s="61">
        <v>0</v>
      </c>
      <c r="K370" s="86"/>
      <c r="L370" s="86"/>
      <c r="M370" s="61">
        <v>0</v>
      </c>
      <c r="N370" s="61">
        <v>0</v>
      </c>
      <c r="O370" s="61">
        <v>0</v>
      </c>
      <c r="P370" s="61">
        <v>0</v>
      </c>
      <c r="Q370" s="61">
        <v>0</v>
      </c>
      <c r="R370" s="61">
        <v>0</v>
      </c>
      <c r="S370" s="61">
        <v>0</v>
      </c>
      <c r="T370" s="61">
        <v>0</v>
      </c>
      <c r="U370" s="61">
        <v>0</v>
      </c>
      <c r="V370" s="61">
        <v>0</v>
      </c>
      <c r="W370" s="61">
        <v>0</v>
      </c>
      <c r="X370" s="61">
        <v>0</v>
      </c>
      <c r="Y370" s="61">
        <v>0</v>
      </c>
      <c r="AA370" s="20"/>
      <c r="AB370" s="16"/>
      <c r="AD370" s="20"/>
      <c r="AE370" s="16"/>
    </row>
    <row r="371" spans="1:33" ht="18" customHeight="1" x14ac:dyDescent="0.2">
      <c r="A371" s="30" t="s">
        <v>107</v>
      </c>
      <c r="B371" s="30" t="s">
        <v>17</v>
      </c>
      <c r="C371" s="4"/>
      <c r="D371" s="4"/>
      <c r="F371" s="106" t="s">
        <v>109</v>
      </c>
      <c r="H371" s="61">
        <v>0</v>
      </c>
      <c r="I371" s="61">
        <v>0</v>
      </c>
      <c r="J371" s="61">
        <v>0</v>
      </c>
      <c r="K371" s="86"/>
      <c r="L371" s="86"/>
      <c r="M371" s="61">
        <v>0</v>
      </c>
      <c r="N371" s="61">
        <v>0</v>
      </c>
      <c r="O371" s="61">
        <v>0</v>
      </c>
      <c r="P371" s="61">
        <v>0</v>
      </c>
      <c r="Q371" s="61">
        <v>0</v>
      </c>
      <c r="R371" s="61">
        <v>0</v>
      </c>
      <c r="S371" s="61">
        <v>0</v>
      </c>
      <c r="T371" s="61">
        <v>0</v>
      </c>
      <c r="U371" s="61">
        <v>0</v>
      </c>
      <c r="V371" s="61">
        <v>0</v>
      </c>
      <c r="W371" s="61">
        <v>0</v>
      </c>
      <c r="X371" s="61">
        <v>0</v>
      </c>
      <c r="Y371" s="61">
        <v>0</v>
      </c>
      <c r="AA371" s="20"/>
      <c r="AB371" s="16"/>
      <c r="AD371" s="20"/>
      <c r="AE371" s="16"/>
    </row>
    <row r="372" spans="1:33" ht="18" customHeight="1" x14ac:dyDescent="0.2">
      <c r="A372" s="30"/>
      <c r="B372" s="30"/>
      <c r="C372" s="4"/>
      <c r="D372" s="4"/>
      <c r="F372" s="106" t="s">
        <v>110</v>
      </c>
      <c r="H372" s="61">
        <v>0</v>
      </c>
      <c r="I372" s="61">
        <v>0</v>
      </c>
      <c r="J372" s="61">
        <v>0</v>
      </c>
      <c r="K372" s="86"/>
      <c r="L372" s="86"/>
      <c r="M372" s="61">
        <v>0</v>
      </c>
      <c r="N372" s="61">
        <v>0</v>
      </c>
      <c r="O372" s="61">
        <v>0</v>
      </c>
      <c r="P372" s="61">
        <v>0</v>
      </c>
      <c r="Q372" s="61">
        <v>0</v>
      </c>
      <c r="R372" s="61">
        <v>0</v>
      </c>
      <c r="S372" s="61">
        <v>0</v>
      </c>
      <c r="T372" s="61">
        <v>0</v>
      </c>
      <c r="U372" s="61">
        <v>0</v>
      </c>
      <c r="V372" s="61">
        <v>0</v>
      </c>
      <c r="W372" s="61">
        <v>0</v>
      </c>
      <c r="X372" s="61">
        <v>0</v>
      </c>
      <c r="Y372" s="61">
        <v>0</v>
      </c>
      <c r="AA372" s="20"/>
      <c r="AB372" s="16"/>
      <c r="AD372" s="20"/>
      <c r="AE372" s="16"/>
    </row>
    <row r="373" spans="1:33" ht="18" customHeight="1" collapsed="1" x14ac:dyDescent="0.2">
      <c r="A373" s="32"/>
      <c r="B373" s="32"/>
      <c r="C373" s="4">
        <v>0</v>
      </c>
      <c r="D373" s="4">
        <v>0</v>
      </c>
      <c r="F373" s="107" t="s">
        <v>111</v>
      </c>
      <c r="H373" s="58">
        <v>0</v>
      </c>
      <c r="I373" s="58">
        <v>0</v>
      </c>
      <c r="J373" s="58">
        <v>0</v>
      </c>
      <c r="K373" s="92">
        <v>0</v>
      </c>
      <c r="L373" s="92">
        <v>0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AA373" s="58">
        <v>0</v>
      </c>
      <c r="AB373" s="60">
        <v>0</v>
      </c>
      <c r="AD373" s="58">
        <v>0</v>
      </c>
      <c r="AE373" s="60">
        <v>0</v>
      </c>
    </row>
    <row r="374" spans="1:33" ht="15" x14ac:dyDescent="0.2">
      <c r="A374" s="4"/>
      <c r="B374" s="4"/>
      <c r="C374" s="4"/>
      <c r="D374" s="4"/>
      <c r="F374" s="96"/>
      <c r="H374" s="16"/>
      <c r="I374" s="16"/>
      <c r="J374" s="16"/>
      <c r="K374" s="85"/>
      <c r="L374" s="85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AA374" s="16"/>
      <c r="AB374" s="8"/>
      <c r="AD374" s="16"/>
      <c r="AE374" s="8"/>
    </row>
    <row r="375" spans="1:33" ht="15" x14ac:dyDescent="0.2">
      <c r="F375" s="102" t="s">
        <v>370</v>
      </c>
      <c r="H375" s="81">
        <v>31.373455544455542</v>
      </c>
      <c r="I375" s="81">
        <v>24.143013809630538</v>
      </c>
      <c r="J375" s="81">
        <v>24.143013809630538</v>
      </c>
      <c r="K375" s="83">
        <v>15.448419473927087</v>
      </c>
      <c r="L375" s="83">
        <v>17.558769328402835</v>
      </c>
      <c r="M375" s="81">
        <v>15.757993006993006</v>
      </c>
      <c r="N375" s="81">
        <v>14.105900277008308</v>
      </c>
      <c r="O375" s="81">
        <v>17.332586953276611</v>
      </c>
      <c r="P375" s="81">
        <v>15.320000000000004</v>
      </c>
      <c r="Q375" s="81">
        <v>14.257298050139276</v>
      </c>
      <c r="R375" s="81">
        <v>14.48443197236956</v>
      </c>
      <c r="S375" s="81">
        <v>14.464205008017759</v>
      </c>
      <c r="T375" s="81">
        <v>14.483039348710989</v>
      </c>
      <c r="U375" s="81">
        <v>17.312271973466046</v>
      </c>
      <c r="V375" s="81">
        <v>16.49707534056158</v>
      </c>
      <c r="W375" s="81">
        <v>16.944688629413392</v>
      </c>
      <c r="X375" s="81">
        <v>19.857100287399788</v>
      </c>
      <c r="Y375" s="81">
        <v>15.784424660757706</v>
      </c>
      <c r="AA375" s="81">
        <v>15.448419473927087</v>
      </c>
      <c r="AB375" s="8"/>
      <c r="AD375" s="81">
        <v>17.558769328402835</v>
      </c>
      <c r="AE375" s="8"/>
    </row>
    <row r="376" spans="1:33" ht="15" x14ac:dyDescent="0.2">
      <c r="F376" s="102" t="s">
        <v>371</v>
      </c>
      <c r="H376" s="81">
        <v>46.234566065513427</v>
      </c>
      <c r="I376" s="81">
        <v>62.681492771138259</v>
      </c>
      <c r="J376" s="81">
        <v>62.681492771138259</v>
      </c>
      <c r="K376" s="83">
        <v>41.126197788697787</v>
      </c>
      <c r="L376" s="83">
        <v>46.645960316431079</v>
      </c>
      <c r="M376" s="81">
        <v>50.706413141314123</v>
      </c>
      <c r="N376" s="81">
        <v>56.580333333333357</v>
      </c>
      <c r="O376" s="81">
        <v>54.131002331002335</v>
      </c>
      <c r="P376" s="81">
        <v>51.892745098039207</v>
      </c>
      <c r="Q376" s="81">
        <v>51.183699999999995</v>
      </c>
      <c r="R376" s="81">
        <v>58.653991008991049</v>
      </c>
      <c r="S376" s="81">
        <v>58.89568558513303</v>
      </c>
      <c r="T376" s="81">
        <v>57.697297297297375</v>
      </c>
      <c r="U376" s="81">
        <v>69.595333333333386</v>
      </c>
      <c r="V376" s="81">
        <v>60.955295326142711</v>
      </c>
      <c r="W376" s="81">
        <v>43.629237652111669</v>
      </c>
      <c r="X376" s="81">
        <v>57.375563811188783</v>
      </c>
      <c r="Y376" s="81">
        <v>55.24548631265197</v>
      </c>
      <c r="AA376" s="81">
        <v>41.126197788697787</v>
      </c>
      <c r="AB376" s="8"/>
      <c r="AD376" s="81">
        <v>46.645960316431079</v>
      </c>
      <c r="AE376" s="8"/>
    </row>
    <row r="377" spans="1:33" s="11" customFormat="1" ht="15" x14ac:dyDescent="0.2">
      <c r="A377" s="8"/>
      <c r="B377" s="8"/>
      <c r="C377" s="8"/>
      <c r="D377" s="8"/>
      <c r="E377" s="8"/>
      <c r="F377" s="103"/>
      <c r="G377" s="8"/>
      <c r="H377" s="82"/>
      <c r="I377" s="16"/>
      <c r="J377" s="16"/>
      <c r="K377" s="84"/>
      <c r="L377" s="84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8"/>
      <c r="AA377" s="16"/>
      <c r="AB377" s="8"/>
      <c r="AC377" s="8"/>
      <c r="AD377" s="16"/>
      <c r="AE377" s="8"/>
      <c r="AF377" s="8"/>
      <c r="AG377" s="8"/>
    </row>
    <row r="378" spans="1:33" s="11" customFormat="1" ht="15" x14ac:dyDescent="0.2">
      <c r="A378" s="8"/>
      <c r="B378" s="8"/>
      <c r="C378" s="8"/>
      <c r="D378" s="8"/>
      <c r="E378" s="8"/>
      <c r="F378" s="102" t="s">
        <v>356</v>
      </c>
      <c r="G378" s="8"/>
      <c r="H378" s="81">
        <v>147.26897175590418</v>
      </c>
      <c r="I378" s="81">
        <v>136.50592066482446</v>
      </c>
      <c r="J378" s="81">
        <v>136.50592066482446</v>
      </c>
      <c r="K378" s="83">
        <v>142.57314148860144</v>
      </c>
      <c r="L378" s="83">
        <v>136.51783147569969</v>
      </c>
      <c r="M378" s="81">
        <v>10.781048845008394</v>
      </c>
      <c r="N378" s="81">
        <v>10.68200964999617</v>
      </c>
      <c r="O378" s="81">
        <v>10.993605257038521</v>
      </c>
      <c r="P378" s="81">
        <v>12.149761511614582</v>
      </c>
      <c r="Q378" s="81">
        <v>13.527451122134586</v>
      </c>
      <c r="R378" s="81">
        <v>12.544496732063982</v>
      </c>
      <c r="S378" s="81">
        <v>11.025916533481228</v>
      </c>
      <c r="T378" s="81">
        <v>10.985064955343196</v>
      </c>
      <c r="U378" s="81">
        <v>12.173669051884056</v>
      </c>
      <c r="V378" s="81">
        <v>12.554908174893216</v>
      </c>
      <c r="W378" s="81">
        <v>11.996706346429558</v>
      </c>
      <c r="X378" s="81">
        <v>11.570168689019845</v>
      </c>
      <c r="Y378" s="81">
        <v>140.99380554881995</v>
      </c>
      <c r="Z378" s="8"/>
      <c r="AA378" s="81">
        <v>142.57314148860144</v>
      </c>
      <c r="AB378" s="8"/>
      <c r="AC378" s="8"/>
      <c r="AD378" s="81">
        <v>136.51783147569969</v>
      </c>
      <c r="AE378" s="8"/>
      <c r="AF378" s="8"/>
      <c r="AG378" s="8"/>
    </row>
    <row r="379" spans="1:33" ht="15" x14ac:dyDescent="0.2">
      <c r="F379" s="96"/>
      <c r="H379" s="16"/>
      <c r="I379" s="16"/>
      <c r="J379" s="16"/>
      <c r="K379" s="85"/>
      <c r="L379" s="85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AA379" s="16"/>
      <c r="AB379" s="8"/>
      <c r="AD379" s="16"/>
      <c r="AE379" s="8"/>
    </row>
    <row r="380" spans="1:33" s="11" customFormat="1" ht="15" x14ac:dyDescent="0.2">
      <c r="A380" s="8"/>
      <c r="B380" s="8"/>
      <c r="C380" s="8"/>
      <c r="D380" s="8"/>
      <c r="E380" s="8"/>
      <c r="F380" s="102" t="s">
        <v>254</v>
      </c>
      <c r="G380" s="8"/>
      <c r="H380" s="81">
        <v>5.6984510074993224</v>
      </c>
      <c r="I380" s="81">
        <v>6.8443288327729723</v>
      </c>
      <c r="J380" s="81">
        <v>6.8443288327729723</v>
      </c>
      <c r="K380" s="83">
        <v>6.641736696662651</v>
      </c>
      <c r="L380" s="83">
        <v>6.6569255256144508</v>
      </c>
      <c r="M380" s="81">
        <v>6.8358854548574826</v>
      </c>
      <c r="N380" s="81">
        <v>6.6069116992882568</v>
      </c>
      <c r="O380" s="81">
        <v>7.1800849478969742</v>
      </c>
      <c r="P380" s="81">
        <v>7.5595087017729989</v>
      </c>
      <c r="Q380" s="81">
        <v>7.1292164119707087</v>
      </c>
      <c r="R380" s="81">
        <v>6.9436872347471166</v>
      </c>
      <c r="S380" s="81">
        <v>6.070090264240684</v>
      </c>
      <c r="T380" s="81">
        <v>5.7954175263329395</v>
      </c>
      <c r="U380" s="81">
        <v>6.5256112589523347</v>
      </c>
      <c r="V380" s="81">
        <v>6.3712573950202369</v>
      </c>
      <c r="W380" s="81">
        <v>6.1632225692377967</v>
      </c>
      <c r="X380" s="81">
        <v>6.918328853754943</v>
      </c>
      <c r="Y380" s="81">
        <v>6.6359495316194232</v>
      </c>
      <c r="Z380" s="8"/>
      <c r="AA380" s="81">
        <v>6.641736696662651</v>
      </c>
      <c r="AB380" s="8"/>
      <c r="AC380" s="8"/>
      <c r="AD380" s="81">
        <v>6.6569255256144508</v>
      </c>
      <c r="AE380" s="8"/>
      <c r="AF380" s="8"/>
      <c r="AG380" s="8"/>
    </row>
    <row r="381" spans="1:33" s="11" customFormat="1" ht="15" x14ac:dyDescent="0.2">
      <c r="A381" s="8"/>
      <c r="B381" s="8"/>
      <c r="C381" s="8"/>
      <c r="D381" s="8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8"/>
      <c r="AC381" s="20"/>
      <c r="AD381" s="20"/>
      <c r="AE381" s="8"/>
      <c r="AF381" s="8"/>
      <c r="AG381" s="8"/>
    </row>
    <row r="382" spans="1:33" s="11" customFormat="1" x14ac:dyDescent="0.2">
      <c r="A382" s="42" t="s">
        <v>30</v>
      </c>
      <c r="B382" s="42" t="s">
        <v>17</v>
      </c>
      <c r="C382" s="8"/>
      <c r="D382" s="8"/>
      <c r="E382" s="8"/>
      <c r="F382" s="43" t="s">
        <v>253</v>
      </c>
      <c r="G382" s="8"/>
      <c r="H382" s="44">
        <v>0</v>
      </c>
      <c r="I382" s="44">
        <v>0</v>
      </c>
      <c r="J382" s="44">
        <v>0</v>
      </c>
      <c r="K382" s="44">
        <v>0</v>
      </c>
      <c r="L382" s="44">
        <v>0</v>
      </c>
      <c r="M382" s="44">
        <v>0</v>
      </c>
      <c r="N382" s="44">
        <v>1.1368683772161603E-13</v>
      </c>
      <c r="O382" s="44">
        <v>-3.979039320256561E-13</v>
      </c>
      <c r="P382" s="44">
        <v>-3.4106051316484809E-13</v>
      </c>
      <c r="Q382" s="44">
        <v>2.2737367544323206E-13</v>
      </c>
      <c r="R382" s="44">
        <v>1.3642420526593924E-12</v>
      </c>
      <c r="S382" s="44">
        <v>1.8189894035458565E-12</v>
      </c>
      <c r="T382" s="44">
        <v>1.3642420526593924E-12</v>
      </c>
      <c r="U382" s="44">
        <v>9.0949470177292824E-13</v>
      </c>
      <c r="V382" s="44">
        <v>1.3642420526593924E-12</v>
      </c>
      <c r="W382" s="44">
        <v>9.0949470177292824E-13</v>
      </c>
      <c r="X382" s="44">
        <v>0</v>
      </c>
      <c r="Y382" s="44">
        <v>0</v>
      </c>
      <c r="Z382" s="8"/>
      <c r="AA382" s="8"/>
      <c r="AB382" s="8"/>
      <c r="AC382" s="8"/>
      <c r="AD382" s="8"/>
      <c r="AE382" s="8"/>
      <c r="AF382" s="8"/>
      <c r="AG382" s="8"/>
    </row>
    <row r="383" spans="1:33" s="2" customFormat="1" ht="12.75" x14ac:dyDescent="0.2">
      <c r="F383" s="1"/>
      <c r="K383" s="49"/>
      <c r="L383" s="49"/>
      <c r="AB383" s="8"/>
      <c r="AE383" s="8"/>
    </row>
    <row r="384" spans="1:33" s="11" customFormat="1" x14ac:dyDescent="0.2">
      <c r="A384" s="8"/>
      <c r="B384" s="8"/>
      <c r="C384" s="8"/>
      <c r="D384" s="8"/>
      <c r="F384" s="11" t="s">
        <v>315</v>
      </c>
      <c r="M384" s="125" t="s">
        <v>388</v>
      </c>
      <c r="N384" s="125" t="s">
        <v>364</v>
      </c>
      <c r="O384" s="125" t="s">
        <v>316</v>
      </c>
      <c r="P384" s="125" t="s">
        <v>317</v>
      </c>
      <c r="Q384" s="125" t="s">
        <v>318</v>
      </c>
      <c r="R384" s="125" t="s">
        <v>319</v>
      </c>
      <c r="S384" s="125" t="s">
        <v>365</v>
      </c>
      <c r="T384" s="125" t="s">
        <v>320</v>
      </c>
      <c r="U384" s="125" t="s">
        <v>366</v>
      </c>
      <c r="V384" s="125" t="s">
        <v>367</v>
      </c>
      <c r="W384" s="125" t="s">
        <v>368</v>
      </c>
      <c r="X384" s="125" t="s">
        <v>369</v>
      </c>
      <c r="AB384" s="8"/>
      <c r="AE384" s="8"/>
      <c r="AF384" s="8"/>
      <c r="AG384" s="8"/>
    </row>
    <row r="385" spans="1:33" s="11" customFormat="1" x14ac:dyDescent="0.2">
      <c r="A385" s="8"/>
      <c r="B385" s="8"/>
      <c r="C385" s="8"/>
      <c r="D385" s="8"/>
      <c r="M385" s="126" t="s">
        <v>5</v>
      </c>
      <c r="N385" s="126" t="s">
        <v>6</v>
      </c>
      <c r="O385" s="126" t="s">
        <v>7</v>
      </c>
      <c r="P385" s="126" t="s">
        <v>8</v>
      </c>
      <c r="Q385" s="126" t="s">
        <v>9</v>
      </c>
      <c r="R385" s="126" t="s">
        <v>10</v>
      </c>
      <c r="S385" s="126" t="s">
        <v>321</v>
      </c>
      <c r="T385" s="126" t="s">
        <v>11</v>
      </c>
      <c r="U385" s="126" t="s">
        <v>12</v>
      </c>
      <c r="V385" s="126" t="s">
        <v>13</v>
      </c>
      <c r="W385" s="126" t="s">
        <v>14</v>
      </c>
      <c r="X385" s="126" t="s">
        <v>15</v>
      </c>
      <c r="AB385" s="8"/>
      <c r="AE385" s="8"/>
      <c r="AF385" s="8"/>
      <c r="AG385" s="8"/>
    </row>
    <row r="386" spans="1:33" s="11" customFormat="1" x14ac:dyDescent="0.2">
      <c r="A386" s="8"/>
      <c r="B386" s="8"/>
      <c r="C386" s="8"/>
      <c r="D386" s="8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AB386" s="8"/>
      <c r="AE386" s="8"/>
      <c r="AF386" s="8"/>
      <c r="AG386" s="8"/>
    </row>
    <row r="387" spans="1:33" s="11" customFormat="1" x14ac:dyDescent="0.2">
      <c r="A387" s="42" t="s">
        <v>30</v>
      </c>
      <c r="B387" s="42" t="s">
        <v>17</v>
      </c>
      <c r="C387" s="8"/>
      <c r="D387" s="8"/>
      <c r="F387" s="52">
        <v>2021</v>
      </c>
      <c r="M387" s="55">
        <v>22.778189999999899</v>
      </c>
      <c r="N387" s="55">
        <v>207.0291</v>
      </c>
      <c r="O387" s="55">
        <v>368.67455000000001</v>
      </c>
      <c r="P387" s="55">
        <v>611.54370999999901</v>
      </c>
      <c r="Q387" s="55">
        <v>1028.7379699999999</v>
      </c>
      <c r="R387" s="55">
        <v>1280.94129</v>
      </c>
      <c r="S387" s="55">
        <v>1734.24136</v>
      </c>
      <c r="T387" s="55">
        <v>2481.2614600000002</v>
      </c>
      <c r="U387" s="55">
        <v>2809.0047500000001</v>
      </c>
      <c r="V387" s="55">
        <v>3082.7190000000001</v>
      </c>
      <c r="W387" s="55">
        <v>3543.5230000000001</v>
      </c>
      <c r="X387" s="55">
        <v>3819.2640000000001</v>
      </c>
      <c r="AB387" s="8"/>
      <c r="AE387" s="8"/>
      <c r="AF387" s="8"/>
      <c r="AG387" s="8"/>
    </row>
    <row r="388" spans="1:33" s="11" customFormat="1" x14ac:dyDescent="0.2">
      <c r="A388" s="42" t="s">
        <v>30</v>
      </c>
      <c r="B388" s="42" t="s">
        <v>17</v>
      </c>
      <c r="C388" s="8"/>
      <c r="D388" s="8"/>
      <c r="F388" s="52">
        <v>2022</v>
      </c>
      <c r="M388" s="55">
        <v>176.05199999999999</v>
      </c>
      <c r="N388" s="55">
        <v>369.65400000000102</v>
      </c>
      <c r="O388" s="55">
        <v>591.16800000000001</v>
      </c>
      <c r="P388" s="55">
        <v>855.64700000000005</v>
      </c>
      <c r="Q388" s="55">
        <v>1342.3309999999999</v>
      </c>
      <c r="R388" s="55">
        <v>1678.348</v>
      </c>
      <c r="S388" s="55">
        <v>2041.4349999999999</v>
      </c>
      <c r="T388" s="55">
        <v>2639.0230000000001</v>
      </c>
      <c r="U388" s="55">
        <v>2917.9940900000001</v>
      </c>
      <c r="V388" s="55">
        <v>3167.5279999999998</v>
      </c>
      <c r="W388" s="55">
        <v>3426.2280000000001</v>
      </c>
      <c r="X388" s="55">
        <v>3868.1860000000001</v>
      </c>
      <c r="AB388" s="8"/>
      <c r="AE388" s="8"/>
      <c r="AF388" s="8"/>
      <c r="AG388" s="8"/>
    </row>
    <row r="389" spans="1:33" s="11" customFormat="1" x14ac:dyDescent="0.2">
      <c r="A389" s="42" t="s">
        <v>30</v>
      </c>
      <c r="B389" s="42" t="s">
        <v>17</v>
      </c>
      <c r="C389" s="8"/>
      <c r="D389" s="8"/>
      <c r="F389" s="124" t="s">
        <v>489</v>
      </c>
      <c r="L389" s="54">
        <v>4054.0714999999987</v>
      </c>
      <c r="M389" s="55">
        <v>337.83929166666655</v>
      </c>
      <c r="N389" s="55">
        <v>675.67858333333311</v>
      </c>
      <c r="O389" s="55">
        <v>1013.5178749999997</v>
      </c>
      <c r="P389" s="55">
        <v>1351.3571666666662</v>
      </c>
      <c r="Q389" s="55">
        <v>1689.1964583333329</v>
      </c>
      <c r="R389" s="55">
        <v>2027.0357499999993</v>
      </c>
      <c r="S389" s="55">
        <v>2364.8750416666658</v>
      </c>
      <c r="T389" s="55">
        <v>2702.7143333333324</v>
      </c>
      <c r="U389" s="55">
        <v>3040.5536249999991</v>
      </c>
      <c r="V389" s="55">
        <v>3378.3929166666658</v>
      </c>
      <c r="W389" s="55">
        <v>3716.2322083333324</v>
      </c>
      <c r="X389" s="55">
        <v>4054.0714999999987</v>
      </c>
      <c r="AB389" s="8"/>
      <c r="AE389" s="8"/>
      <c r="AF389" s="8"/>
      <c r="AG389" s="8"/>
    </row>
    <row r="390" spans="1:33" s="11" customFormat="1" x14ac:dyDescent="0.2">
      <c r="A390" s="42" t="s">
        <v>30</v>
      </c>
      <c r="B390" s="42" t="s">
        <v>17</v>
      </c>
      <c r="C390" s="8"/>
      <c r="D390" s="8"/>
      <c r="F390" s="52" t="s">
        <v>450</v>
      </c>
      <c r="M390" s="55">
        <v>170.87</v>
      </c>
      <c r="N390" s="55">
        <v>307.50599999999997</v>
      </c>
      <c r="O390" s="55">
        <v>457.28099999999898</v>
      </c>
      <c r="P390" s="55">
        <v>850.43499999999904</v>
      </c>
      <c r="Q390" s="55">
        <v>1515.8119999999999</v>
      </c>
      <c r="R390" s="55">
        <v>1865.7860000000001</v>
      </c>
      <c r="S390" s="55">
        <v>2310.2440000000001</v>
      </c>
      <c r="T390" s="55">
        <v>2799.3919999999998</v>
      </c>
      <c r="U390" s="55">
        <v>3094.55</v>
      </c>
      <c r="V390" s="55">
        <v>3439.0549999999998</v>
      </c>
      <c r="W390" s="55">
        <v>3739.4389999999999</v>
      </c>
      <c r="X390" s="55">
        <v>4130.5860000000002</v>
      </c>
      <c r="AB390" s="8"/>
      <c r="AE390" s="8"/>
      <c r="AF390" s="8"/>
      <c r="AG390" s="8"/>
    </row>
    <row r="391" spans="1:33" s="11" customFormat="1" x14ac:dyDescent="0.2">
      <c r="A391" s="8"/>
      <c r="B391" s="8"/>
      <c r="C391" s="8"/>
      <c r="D391" s="8"/>
      <c r="F391" s="11" t="s">
        <v>490</v>
      </c>
      <c r="L391" s="54">
        <v>4054.0714999999987</v>
      </c>
      <c r="M391" s="55" t="s">
        <v>481</v>
      </c>
      <c r="N391" s="55" t="s">
        <v>481</v>
      </c>
      <c r="O391" s="55" t="s">
        <v>481</v>
      </c>
      <c r="P391" s="55" t="s">
        <v>481</v>
      </c>
      <c r="Q391" s="55" t="s">
        <v>481</v>
      </c>
      <c r="R391" s="55" t="s">
        <v>481</v>
      </c>
      <c r="S391" s="55" t="s">
        <v>481</v>
      </c>
      <c r="T391" s="55" t="s">
        <v>481</v>
      </c>
      <c r="U391" s="55" t="s">
        <v>481</v>
      </c>
      <c r="V391" s="55" t="s">
        <v>481</v>
      </c>
      <c r="W391" s="55" t="s">
        <v>481</v>
      </c>
      <c r="X391" s="55">
        <v>4130.5860000000002</v>
      </c>
      <c r="AB391" s="8"/>
      <c r="AE391" s="8"/>
      <c r="AF391" s="8"/>
      <c r="AG391" s="8"/>
    </row>
    <row r="392" spans="1:33" s="2" customFormat="1" ht="12.75" x14ac:dyDescent="0.2">
      <c r="F392" s="1"/>
      <c r="K392" s="49"/>
      <c r="L392" s="49"/>
      <c r="AB392" s="8"/>
      <c r="AE392" s="8"/>
    </row>
    <row r="393" spans="1:33" s="2" customFormat="1" ht="12.75" x14ac:dyDescent="0.2">
      <c r="F393" s="1"/>
      <c r="K393" s="49"/>
      <c r="L393" s="49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AB393" s="8"/>
      <c r="AE393" s="8"/>
    </row>
    <row r="394" spans="1:33" s="2" customFormat="1" ht="12.75" x14ac:dyDescent="0.2">
      <c r="F394" s="1"/>
      <c r="K394" s="49"/>
      <c r="L394" s="49"/>
      <c r="AB394" s="8"/>
      <c r="AE394" s="8"/>
    </row>
    <row r="395" spans="1:33" s="2" customFormat="1" ht="12.75" x14ac:dyDescent="0.2">
      <c r="F395" s="1"/>
      <c r="K395" s="49"/>
      <c r="L395" s="49"/>
      <c r="AB395" s="8"/>
      <c r="AE395" s="8"/>
    </row>
    <row r="396" spans="1:33" s="2" customFormat="1" ht="12.75" x14ac:dyDescent="0.2">
      <c r="F396" s="1"/>
      <c r="K396" s="49"/>
      <c r="L396" s="49"/>
      <c r="R396" s="93"/>
      <c r="S396" s="93"/>
      <c r="T396" s="93"/>
      <c r="AB396" s="8"/>
      <c r="AE396" s="8"/>
    </row>
    <row r="397" spans="1:33" s="2" customFormat="1" ht="12.75" x14ac:dyDescent="0.2">
      <c r="F397" s="1"/>
      <c r="K397" s="49"/>
      <c r="L397" s="49"/>
      <c r="AB397" s="8"/>
      <c r="AE397" s="8"/>
    </row>
    <row r="398" spans="1:33" s="2" customFormat="1" ht="12.75" x14ac:dyDescent="0.2">
      <c r="F398" s="1"/>
      <c r="K398" s="49"/>
      <c r="L398" s="49"/>
      <c r="AB398" s="8"/>
      <c r="AE398" s="8"/>
    </row>
    <row r="399" spans="1:33" s="2" customFormat="1" ht="12.75" x14ac:dyDescent="0.2">
      <c r="F399" s="1"/>
      <c r="K399" s="49"/>
      <c r="L399" s="49"/>
      <c r="AB399" s="8"/>
      <c r="AE399" s="8"/>
    </row>
    <row r="400" spans="1:33" s="2" customFormat="1" ht="12.75" x14ac:dyDescent="0.2">
      <c r="F400" s="1"/>
      <c r="K400" s="49"/>
      <c r="L400" s="49"/>
      <c r="AB400" s="8"/>
      <c r="AE400" s="8"/>
    </row>
    <row r="401" spans="6:31" s="2" customFormat="1" ht="12.75" x14ac:dyDescent="0.2">
      <c r="F401" s="1"/>
      <c r="K401" s="49"/>
      <c r="L401" s="49"/>
      <c r="AB401" s="8"/>
      <c r="AE401" s="8"/>
    </row>
    <row r="402" spans="6:31" s="2" customFormat="1" ht="12.75" x14ac:dyDescent="0.2">
      <c r="F402" s="1"/>
      <c r="K402" s="49"/>
      <c r="L402" s="49"/>
      <c r="AB402" s="8"/>
      <c r="AE402" s="8"/>
    </row>
    <row r="403" spans="6:31" s="2" customFormat="1" x14ac:dyDescent="0.2">
      <c r="F403" s="1"/>
      <c r="K403" s="49"/>
      <c r="L403" s="49"/>
      <c r="AB403" s="8"/>
      <c r="AE403" s="3"/>
    </row>
    <row r="404" spans="6:31" s="2" customFormat="1" x14ac:dyDescent="0.2">
      <c r="F404" s="1"/>
      <c r="K404" s="49"/>
      <c r="L404" s="49"/>
      <c r="AB404" s="3"/>
      <c r="AE404" s="3"/>
    </row>
    <row r="405" spans="6:31" s="2" customFormat="1" x14ac:dyDescent="0.2">
      <c r="F405" s="1"/>
      <c r="K405" s="49"/>
      <c r="L405" s="49"/>
      <c r="AB405" s="3"/>
      <c r="AE405" s="3"/>
    </row>
    <row r="406" spans="6:31" s="2" customFormat="1" x14ac:dyDescent="0.2">
      <c r="F406" s="1"/>
      <c r="K406" s="49"/>
      <c r="L406" s="49"/>
      <c r="AB406" s="3"/>
      <c r="AE406" s="3"/>
    </row>
    <row r="407" spans="6:31" s="2" customFormat="1" x14ac:dyDescent="0.2">
      <c r="F407" s="1"/>
      <c r="K407" s="49"/>
      <c r="L407" s="49"/>
      <c r="AB407" s="3"/>
      <c r="AE407" s="3"/>
    </row>
    <row r="408" spans="6:31" s="2" customFormat="1" x14ac:dyDescent="0.2">
      <c r="F408" s="1"/>
      <c r="K408" s="49"/>
      <c r="L408" s="49"/>
      <c r="AB408" s="3"/>
      <c r="AE408" s="3"/>
    </row>
    <row r="409" spans="6:31" s="2" customFormat="1" x14ac:dyDescent="0.2">
      <c r="F409" s="1"/>
      <c r="K409" s="49"/>
      <c r="L409" s="49"/>
      <c r="AB409" s="3"/>
      <c r="AE409" s="3"/>
    </row>
    <row r="410" spans="6:31" s="2" customFormat="1" x14ac:dyDescent="0.2">
      <c r="F410" s="1"/>
      <c r="K410" s="49"/>
      <c r="L410" s="49"/>
      <c r="AB410" s="3"/>
      <c r="AE410" s="3"/>
    </row>
    <row r="411" spans="6:31" s="2" customFormat="1" x14ac:dyDescent="0.2">
      <c r="F411" s="1"/>
      <c r="K411" s="49"/>
      <c r="L411" s="49"/>
      <c r="AB411" s="3"/>
      <c r="AE411" s="3"/>
    </row>
    <row r="412" spans="6:31" s="2" customFormat="1" x14ac:dyDescent="0.2">
      <c r="F412" s="1"/>
      <c r="K412" s="49"/>
      <c r="L412" s="49"/>
      <c r="AB412" s="3"/>
      <c r="AE412" s="3"/>
    </row>
    <row r="413" spans="6:31" s="2" customFormat="1" x14ac:dyDescent="0.2">
      <c r="F413" s="1"/>
      <c r="K413" s="49"/>
      <c r="L413" s="49"/>
      <c r="AB413" s="3"/>
      <c r="AE413" s="3"/>
    </row>
    <row r="414" spans="6:31" s="2" customFormat="1" x14ac:dyDescent="0.2">
      <c r="F414" s="1"/>
      <c r="K414" s="49"/>
      <c r="L414" s="49"/>
      <c r="AB414" s="3"/>
      <c r="AE414" s="3"/>
    </row>
    <row r="415" spans="6:31" s="2" customFormat="1" x14ac:dyDescent="0.2">
      <c r="F415" s="1"/>
      <c r="K415" s="49"/>
      <c r="L415" s="49"/>
      <c r="AB415" s="3"/>
      <c r="AE415" s="3"/>
    </row>
    <row r="416" spans="6:31" s="2" customFormat="1" x14ac:dyDescent="0.2">
      <c r="F416" s="1"/>
      <c r="K416" s="49"/>
      <c r="L416" s="49"/>
      <c r="AB416" s="3"/>
      <c r="AE416" s="3"/>
    </row>
    <row r="417" spans="6:31" s="2" customFormat="1" x14ac:dyDescent="0.2">
      <c r="F417" s="1"/>
      <c r="K417" s="49"/>
      <c r="L417" s="49"/>
      <c r="AB417" s="3"/>
      <c r="AE417" s="3"/>
    </row>
    <row r="418" spans="6:31" s="2" customFormat="1" x14ac:dyDescent="0.2">
      <c r="F418" s="1"/>
      <c r="K418" s="49"/>
      <c r="L418" s="49"/>
      <c r="AB418" s="3"/>
      <c r="AE418" s="3"/>
    </row>
    <row r="419" spans="6:31" s="2" customFormat="1" x14ac:dyDescent="0.2">
      <c r="F419" s="1"/>
      <c r="K419" s="49"/>
      <c r="L419" s="49"/>
      <c r="AB419" s="3"/>
      <c r="AE419" s="3"/>
    </row>
    <row r="420" spans="6:31" s="2" customFormat="1" x14ac:dyDescent="0.2">
      <c r="F420" s="1"/>
      <c r="K420" s="49"/>
      <c r="L420" s="49"/>
      <c r="AB420" s="3"/>
      <c r="AE420" s="3"/>
    </row>
    <row r="421" spans="6:31" s="2" customFormat="1" x14ac:dyDescent="0.2">
      <c r="F421" s="1"/>
      <c r="K421" s="49"/>
      <c r="L421" s="49"/>
      <c r="AB421" s="3"/>
      <c r="AE421" s="3"/>
    </row>
    <row r="422" spans="6:31" s="2" customFormat="1" x14ac:dyDescent="0.2">
      <c r="F422" s="1"/>
      <c r="K422" s="49"/>
      <c r="L422" s="49"/>
      <c r="AB422" s="3"/>
      <c r="AE422" s="3"/>
    </row>
    <row r="423" spans="6:31" s="2" customFormat="1" x14ac:dyDescent="0.2">
      <c r="F423" s="1"/>
      <c r="K423" s="49"/>
      <c r="L423" s="49"/>
      <c r="AB423" s="3"/>
      <c r="AE423" s="3"/>
    </row>
    <row r="424" spans="6:31" s="2" customFormat="1" x14ac:dyDescent="0.2">
      <c r="F424" s="1"/>
      <c r="K424" s="49"/>
      <c r="L424" s="49"/>
      <c r="AB424" s="3"/>
      <c r="AE424" s="3"/>
    </row>
    <row r="425" spans="6:31" s="2" customFormat="1" x14ac:dyDescent="0.2">
      <c r="F425" s="1"/>
      <c r="K425" s="49"/>
      <c r="L425" s="49"/>
      <c r="AB425" s="3"/>
      <c r="AE425" s="3"/>
    </row>
    <row r="426" spans="6:31" s="2" customFormat="1" x14ac:dyDescent="0.2">
      <c r="F426" s="1"/>
      <c r="K426" s="49"/>
      <c r="L426" s="49"/>
      <c r="AB426" s="3"/>
      <c r="AE426" s="3"/>
    </row>
    <row r="427" spans="6:31" s="2" customFormat="1" x14ac:dyDescent="0.2">
      <c r="F427" s="1"/>
      <c r="K427" s="49"/>
      <c r="L427" s="49"/>
      <c r="AB427" s="3"/>
      <c r="AE427" s="3"/>
    </row>
    <row r="428" spans="6:31" s="2" customFormat="1" x14ac:dyDescent="0.2">
      <c r="F428" s="1"/>
      <c r="K428" s="49"/>
      <c r="L428" s="49"/>
      <c r="AB428" s="3"/>
      <c r="AE428" s="3"/>
    </row>
    <row r="429" spans="6:31" s="2" customFormat="1" x14ac:dyDescent="0.2">
      <c r="F429" s="1"/>
      <c r="K429" s="49"/>
      <c r="L429" s="49"/>
      <c r="AB429" s="3"/>
      <c r="AE429" s="3"/>
    </row>
    <row r="430" spans="6:31" s="2" customFormat="1" x14ac:dyDescent="0.2">
      <c r="F430" s="1"/>
      <c r="K430" s="49"/>
      <c r="L430" s="49"/>
      <c r="AB430" s="3"/>
      <c r="AE430" s="3"/>
    </row>
    <row r="431" spans="6:31" s="2" customFormat="1" x14ac:dyDescent="0.2">
      <c r="F431" s="1"/>
      <c r="K431" s="49"/>
      <c r="L431" s="49"/>
      <c r="AB431" s="3"/>
      <c r="AE431" s="3"/>
    </row>
    <row r="432" spans="6:31" s="2" customFormat="1" x14ac:dyDescent="0.2">
      <c r="F432" s="1"/>
      <c r="K432" s="49"/>
      <c r="L432" s="49"/>
      <c r="AB432" s="3"/>
      <c r="AE432" s="3"/>
    </row>
    <row r="433" spans="6:31" s="2" customFormat="1" x14ac:dyDescent="0.2">
      <c r="F433" s="1"/>
      <c r="K433" s="49"/>
      <c r="L433" s="49"/>
      <c r="AB433" s="3"/>
      <c r="AE433" s="3"/>
    </row>
    <row r="434" spans="6:31" s="2" customFormat="1" x14ac:dyDescent="0.2">
      <c r="F434" s="1"/>
      <c r="K434" s="49"/>
      <c r="L434" s="49"/>
      <c r="AB434" s="3"/>
      <c r="AE434" s="3"/>
    </row>
    <row r="435" spans="6:31" s="2" customFormat="1" x14ac:dyDescent="0.2">
      <c r="F435" s="1"/>
      <c r="K435" s="49"/>
      <c r="L435" s="49"/>
      <c r="AB435" s="3"/>
      <c r="AE435" s="3"/>
    </row>
  </sheetData>
  <mergeCells count="5">
    <mergeCell ref="F9:F10"/>
    <mergeCell ref="AD9:AD10"/>
    <mergeCell ref="AE9:AE10"/>
    <mergeCell ref="AA9:AA10"/>
    <mergeCell ref="AB9:AB10"/>
  </mergeCells>
  <conditionalFormatting sqref="AB1:AB1048576">
    <cfRule type="expression" dxfId="491" priority="61" stopIfTrue="1">
      <formula>($C1&gt;0)</formula>
    </cfRule>
    <cfRule type="expression" dxfId="490" priority="62" stopIfTrue="1">
      <formula>AND($C1&lt;0,$C1&gt;=$AB$2)</formula>
    </cfRule>
    <cfRule type="expression" dxfId="489" priority="63" stopIfTrue="1">
      <formula>($C1&lt;$AB$2)</formula>
    </cfRule>
  </conditionalFormatting>
  <conditionalFormatting sqref="AE1:AE299 AE301 AE303:AE1048576">
    <cfRule type="expression" dxfId="488" priority="70" stopIfTrue="1">
      <formula>($D1&gt;0)</formula>
    </cfRule>
    <cfRule type="expression" dxfId="487" priority="71" stopIfTrue="1">
      <formula>AND($D1&lt;0,$D1&gt;=$AE$2)</formula>
    </cfRule>
    <cfRule type="expression" dxfId="486" priority="72" stopIfTrue="1">
      <formula>($D1&lt;$AE$2)</formula>
    </cfRule>
  </conditionalFormatting>
  <conditionalFormatting sqref="AB9:AB10">
    <cfRule type="expression" dxfId="485" priority="40" stopIfTrue="1">
      <formula>($C9&gt;0)</formula>
    </cfRule>
    <cfRule type="expression" dxfId="484" priority="41" stopIfTrue="1">
      <formula>AND($C9&lt;0,$C9&gt;=$AB$2)</formula>
    </cfRule>
    <cfRule type="expression" dxfId="483" priority="42" stopIfTrue="1">
      <formula>($C9&lt;$AB$2)</formula>
    </cfRule>
  </conditionalFormatting>
  <conditionalFormatting sqref="AE9:AE10">
    <cfRule type="expression" dxfId="482" priority="37" stopIfTrue="1">
      <formula>($D9&gt;0)</formula>
    </cfRule>
    <cfRule type="expression" dxfId="481" priority="38" stopIfTrue="1">
      <formula>AND($D9&lt;0,$D9&gt;=$AE$2)</formula>
    </cfRule>
    <cfRule type="expression" dxfId="480" priority="39" stopIfTrue="1">
      <formula>($D9&lt;$AE$2)</formula>
    </cfRule>
  </conditionalFormatting>
  <conditionalFormatting sqref="AD366">
    <cfRule type="expression" dxfId="479" priority="34" stopIfTrue="1">
      <formula>($D366&gt;0)</formula>
    </cfRule>
    <cfRule type="expression" dxfId="478" priority="35" stopIfTrue="1">
      <formula>AND($D366&lt;0,$D366&gt;=$AE$2)</formula>
    </cfRule>
    <cfRule type="expression" dxfId="477" priority="36" stopIfTrue="1">
      <formula>($D366&lt;$AE$2)</formula>
    </cfRule>
  </conditionalFormatting>
  <conditionalFormatting sqref="AD369">
    <cfRule type="expression" dxfId="476" priority="31" stopIfTrue="1">
      <formula>($D369&gt;0)</formula>
    </cfRule>
    <cfRule type="expression" dxfId="475" priority="32" stopIfTrue="1">
      <formula>AND($D369&lt;0,$D369&gt;=$AE$2)</formula>
    </cfRule>
    <cfRule type="expression" dxfId="474" priority="33" stopIfTrue="1">
      <formula>($D369&lt;$AE$2)</formula>
    </cfRule>
  </conditionalFormatting>
  <conditionalFormatting sqref="AE140">
    <cfRule type="expression" dxfId="473" priority="28" stopIfTrue="1">
      <formula>($D140&gt;0)</formula>
    </cfRule>
    <cfRule type="expression" dxfId="472" priority="29" stopIfTrue="1">
      <formula>AND($D140&lt;0,$D140&gt;=$AE$2)</formula>
    </cfRule>
    <cfRule type="expression" dxfId="471" priority="30" stopIfTrue="1">
      <formula>($D140&lt;$AE$2)</formula>
    </cfRule>
  </conditionalFormatting>
  <conditionalFormatting sqref="AB140">
    <cfRule type="expression" dxfId="470" priority="25" stopIfTrue="1">
      <formula>($C140&gt;0)</formula>
    </cfRule>
    <cfRule type="expression" dxfId="469" priority="26" stopIfTrue="1">
      <formula>AND($C140&lt;0,$C140&gt;=$AB$2)</formula>
    </cfRule>
    <cfRule type="expression" dxfId="468" priority="27" stopIfTrue="1">
      <formula>($C140&lt;$AB$2)</formula>
    </cfRule>
  </conditionalFormatting>
  <conditionalFormatting sqref="AE140">
    <cfRule type="expression" dxfId="467" priority="22" stopIfTrue="1">
      <formula>($D140&gt;0)</formula>
    </cfRule>
    <cfRule type="expression" dxfId="466" priority="23" stopIfTrue="1">
      <formula>AND($D140&lt;0,$D140&gt;=$AE$2)</formula>
    </cfRule>
    <cfRule type="expression" dxfId="465" priority="24" stopIfTrue="1">
      <formula>($D140&lt;$AE$2)</formula>
    </cfRule>
  </conditionalFormatting>
  <conditionalFormatting sqref="AB140">
    <cfRule type="expression" dxfId="464" priority="19" stopIfTrue="1">
      <formula>($C140&gt;0)</formula>
    </cfRule>
    <cfRule type="expression" dxfId="463" priority="20" stopIfTrue="1">
      <formula>AND($C140&lt;0,$C140&gt;=$AB$2)</formula>
    </cfRule>
    <cfRule type="expression" dxfId="462" priority="21" stopIfTrue="1">
      <formula>($C140&lt;$AB$2)</formula>
    </cfRule>
  </conditionalFormatting>
  <conditionalFormatting sqref="AE140">
    <cfRule type="expression" dxfId="461" priority="16" stopIfTrue="1">
      <formula>($D140&gt;0)</formula>
    </cfRule>
    <cfRule type="expression" dxfId="460" priority="17" stopIfTrue="1">
      <formula>AND($D140&lt;0,$D140&gt;=$AE$2)</formula>
    </cfRule>
    <cfRule type="expression" dxfId="459" priority="18" stopIfTrue="1">
      <formula>($D140&lt;$AE$2)</formula>
    </cfRule>
  </conditionalFormatting>
  <conditionalFormatting sqref="AB140">
    <cfRule type="expression" dxfId="458" priority="13" stopIfTrue="1">
      <formula>($C140&gt;0)</formula>
    </cfRule>
    <cfRule type="expression" dxfId="457" priority="14" stopIfTrue="1">
      <formula>AND($C140&lt;0,$C140&gt;=$AB$2)</formula>
    </cfRule>
    <cfRule type="expression" dxfId="456" priority="15" stopIfTrue="1">
      <formula>($C140&lt;$AB$2)</formula>
    </cfRule>
  </conditionalFormatting>
  <conditionalFormatting sqref="AB230">
    <cfRule type="expression" dxfId="455" priority="10" stopIfTrue="1">
      <formula>($C230&gt;0)</formula>
    </cfRule>
    <cfRule type="expression" dxfId="454" priority="11" stopIfTrue="1">
      <formula>AND($C230&lt;0,$C230&gt;=$AB$2)</formula>
    </cfRule>
    <cfRule type="expression" dxfId="453" priority="12" stopIfTrue="1">
      <formula>($C230&lt;$AB$2)</formula>
    </cfRule>
  </conditionalFormatting>
  <conditionalFormatting sqref="AE230">
    <cfRule type="expression" dxfId="452" priority="7" stopIfTrue="1">
      <formula>($D230&gt;0)</formula>
    </cfRule>
    <cfRule type="expression" dxfId="451" priority="8" stopIfTrue="1">
      <formula>AND($D230&lt;0,$D230&gt;=$AE$2)</formula>
    </cfRule>
    <cfRule type="expression" dxfId="450" priority="9" stopIfTrue="1">
      <formula>($D230&lt;$AE$2)</formula>
    </cfRule>
  </conditionalFormatting>
  <conditionalFormatting sqref="AE300">
    <cfRule type="expression" dxfId="449" priority="4" stopIfTrue="1">
      <formula>($D300&gt;0)</formula>
    </cfRule>
    <cfRule type="expression" dxfId="448" priority="5" stopIfTrue="1">
      <formula>AND($D300&lt;0,$D300&gt;=$AE$2)</formula>
    </cfRule>
    <cfRule type="expression" dxfId="447" priority="6" stopIfTrue="1">
      <formula>($D300&lt;$AE$2)</formula>
    </cfRule>
  </conditionalFormatting>
  <conditionalFormatting sqref="AE302">
    <cfRule type="expression" dxfId="446" priority="1" stopIfTrue="1">
      <formula>($D302&gt;0)</formula>
    </cfRule>
    <cfRule type="expression" dxfId="445" priority="2" stopIfTrue="1">
      <formula>AND($D302&lt;0,$D302&gt;=$AE$2)</formula>
    </cfRule>
    <cfRule type="expression" dxfId="444" priority="3" stopIfTrue="1">
      <formula>($D302&lt;$AE$2)</formula>
    </cfRule>
  </conditionalFormatting>
  <printOptions horizontalCentered="1"/>
  <pageMargins left="0" right="0" top="0" bottom="0" header="0.11811023622047245" footer="7.874015748031496E-2"/>
  <pageSetup paperSize="9" scale="44" fitToHeight="2" orientation="portrait" r:id="rId1"/>
  <headerFooter alignWithMargins="0">
    <oddHeader>&amp;CFICHE SUIVEUSE&amp;R&amp;D - &amp;T</oddHeader>
  </headerFooter>
  <rowBreaks count="1" manualBreakCount="1">
    <brk id="201" min="5" max="25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435"/>
  <sheetViews>
    <sheetView showGridLines="0" topLeftCell="E7" zoomScale="70" zoomScaleNormal="70" zoomScaleSheetLayoutView="75" workbookViewId="0">
      <pane ySplit="9" topLeftCell="A16" activePane="bottomLeft" state="frozen"/>
      <selection activeCell="W25" sqref="W25"/>
      <selection pane="bottomLeft" activeCell="X16" sqref="X16"/>
    </sheetView>
  </sheetViews>
  <sheetFormatPr baseColWidth="10" defaultRowHeight="14.25" outlineLevelRow="2" outlineLevelCol="1" x14ac:dyDescent="0.2"/>
  <cols>
    <col min="1" max="1" width="24.85546875" style="8" hidden="1" customWidth="1" outlineLevel="1"/>
    <col min="2" max="2" width="30.42578125" style="8" hidden="1" customWidth="1" outlineLevel="1"/>
    <col min="3" max="4" width="12.5703125" style="8" hidden="1" customWidth="1" outlineLevel="1"/>
    <col min="5" max="5" width="2.7109375" style="8" customWidth="1" collapsed="1"/>
    <col min="6" max="6" width="35.28515625" style="7" customWidth="1"/>
    <col min="7" max="7" width="1.140625" style="8" customWidth="1"/>
    <col min="8" max="10" width="10.140625" style="8" customWidth="1"/>
    <col min="11" max="11" width="10.140625" style="9" customWidth="1" outlineLevel="1"/>
    <col min="12" max="12" width="10.5703125" style="9" customWidth="1"/>
    <col min="13" max="24" width="8.7109375" style="8" customWidth="1"/>
    <col min="25" max="25" width="10.140625" style="8" customWidth="1"/>
    <col min="26" max="26" width="1.140625" style="8" customWidth="1"/>
    <col min="27" max="27" width="10.140625" style="8" customWidth="1"/>
    <col min="28" max="28" width="8.7109375" style="11" customWidth="1"/>
    <col min="29" max="29" width="1.140625" style="8" customWidth="1"/>
    <col min="30" max="30" width="10.140625" style="8" customWidth="1" outlineLevel="1"/>
    <col min="31" max="31" width="8.7109375" style="11" customWidth="1" outlineLevel="1"/>
    <col min="32" max="16384" width="11.42578125" style="8"/>
  </cols>
  <sheetData>
    <row r="1" spans="1:31" ht="14.25" hidden="1" customHeight="1" outlineLevel="1" x14ac:dyDescent="0.2">
      <c r="A1" s="7" t="s">
        <v>3</v>
      </c>
      <c r="B1" s="7"/>
      <c r="I1" s="10" t="s">
        <v>15</v>
      </c>
      <c r="M1" s="10" t="s">
        <v>5</v>
      </c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321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15</v>
      </c>
      <c r="AB1" s="53"/>
      <c r="AE1" s="53"/>
    </row>
    <row r="2" spans="1:31" ht="12.75" hidden="1" customHeight="1" outlineLevel="1" x14ac:dyDescent="0.2">
      <c r="A2" s="7" t="s">
        <v>4</v>
      </c>
      <c r="B2" s="7"/>
      <c r="H2" s="12" t="s">
        <v>27</v>
      </c>
      <c r="I2" s="12" t="s">
        <v>28</v>
      </c>
      <c r="J2" s="12" t="s">
        <v>29</v>
      </c>
      <c r="K2" s="13" t="s">
        <v>32</v>
      </c>
      <c r="L2" s="13" t="s">
        <v>33</v>
      </c>
      <c r="M2" s="14" t="b">
        <v>1</v>
      </c>
      <c r="N2" s="14" t="b">
        <v>1</v>
      </c>
      <c r="O2" s="14" t="b">
        <v>1</v>
      </c>
      <c r="P2" s="14" t="b">
        <v>1</v>
      </c>
      <c r="Q2" s="14" t="b">
        <v>1</v>
      </c>
      <c r="R2" s="14" t="b">
        <v>1</v>
      </c>
      <c r="S2" s="14" t="b">
        <v>1</v>
      </c>
      <c r="T2" s="14" t="b">
        <v>1</v>
      </c>
      <c r="U2" s="14" t="b">
        <v>1</v>
      </c>
      <c r="V2" s="14" t="b">
        <v>1</v>
      </c>
      <c r="W2" s="14" t="b">
        <v>1</v>
      </c>
      <c r="X2" s="14" t="b">
        <v>1</v>
      </c>
      <c r="Y2" s="12" t="s">
        <v>33</v>
      </c>
      <c r="AA2" s="128"/>
      <c r="AB2" s="129">
        <v>-0.15</v>
      </c>
      <c r="AD2" s="128"/>
      <c r="AE2" s="129">
        <v>-0.15</v>
      </c>
    </row>
    <row r="3" spans="1:31" ht="14.25" hidden="1" customHeight="1" outlineLevel="1" x14ac:dyDescent="0.15">
      <c r="A3" s="7" t="s">
        <v>410</v>
      </c>
      <c r="B3" s="7"/>
      <c r="H3" s="127" t="s">
        <v>459</v>
      </c>
      <c r="I3" s="127" t="s">
        <v>459</v>
      </c>
      <c r="J3" s="127" t="s">
        <v>459</v>
      </c>
      <c r="K3" s="130" t="s">
        <v>460</v>
      </c>
      <c r="L3" s="130" t="s">
        <v>461</v>
      </c>
      <c r="M3" s="127" t="s">
        <v>459</v>
      </c>
      <c r="N3" s="127" t="s">
        <v>459</v>
      </c>
      <c r="O3" s="127" t="s">
        <v>459</v>
      </c>
      <c r="P3" s="127" t="s">
        <v>459</v>
      </c>
      <c r="Q3" s="127" t="s">
        <v>459</v>
      </c>
      <c r="R3" s="127" t="s">
        <v>459</v>
      </c>
      <c r="S3" s="127" t="s">
        <v>459</v>
      </c>
      <c r="T3" s="127" t="s">
        <v>459</v>
      </c>
      <c r="U3" s="127" t="s">
        <v>459</v>
      </c>
      <c r="V3" s="127" t="s">
        <v>459</v>
      </c>
      <c r="W3" s="127" t="s">
        <v>459</v>
      </c>
      <c r="X3" s="127" t="s">
        <v>459</v>
      </c>
      <c r="Y3" s="127" t="s">
        <v>459</v>
      </c>
      <c r="AB3" s="53"/>
      <c r="AE3" s="53"/>
    </row>
    <row r="4" spans="1:31" ht="14.25" hidden="1" customHeight="1" outlineLevel="1" x14ac:dyDescent="0.15">
      <c r="A4" s="15" t="s">
        <v>462</v>
      </c>
      <c r="B4" s="7"/>
      <c r="H4" s="127" t="s">
        <v>463</v>
      </c>
      <c r="I4" s="127" t="s">
        <v>463</v>
      </c>
      <c r="J4" s="127" t="s">
        <v>463</v>
      </c>
      <c r="K4" s="130" t="s">
        <v>464</v>
      </c>
      <c r="L4" s="130" t="s">
        <v>465</v>
      </c>
      <c r="M4" s="127" t="s">
        <v>463</v>
      </c>
      <c r="N4" s="127" t="s">
        <v>463</v>
      </c>
      <c r="O4" s="127" t="s">
        <v>463</v>
      </c>
      <c r="P4" s="127" t="s">
        <v>463</v>
      </c>
      <c r="Q4" s="127" t="s">
        <v>463</v>
      </c>
      <c r="R4" s="127" t="s">
        <v>463</v>
      </c>
      <c r="S4" s="127" t="s">
        <v>463</v>
      </c>
      <c r="T4" s="127" t="s">
        <v>463</v>
      </c>
      <c r="U4" s="127" t="s">
        <v>463</v>
      </c>
      <c r="V4" s="127" t="s">
        <v>463</v>
      </c>
      <c r="W4" s="127" t="s">
        <v>463</v>
      </c>
      <c r="X4" s="127" t="s">
        <v>463</v>
      </c>
      <c r="Y4" s="127" t="s">
        <v>463</v>
      </c>
      <c r="AA4" s="128"/>
      <c r="AB4" s="131"/>
      <c r="AD4" s="128"/>
      <c r="AE4" s="131"/>
    </row>
    <row r="5" spans="1:31" ht="14.25" hidden="1" customHeight="1" outlineLevel="1" x14ac:dyDescent="0.15">
      <c r="B5" s="7"/>
      <c r="H5" s="127" t="s">
        <v>466</v>
      </c>
      <c r="I5" s="127" t="s">
        <v>467</v>
      </c>
      <c r="J5" s="127" t="s">
        <v>467</v>
      </c>
      <c r="K5" s="130" t="s">
        <v>468</v>
      </c>
      <c r="L5" s="130" t="s">
        <v>469</v>
      </c>
      <c r="M5" s="127" t="s">
        <v>468</v>
      </c>
      <c r="N5" s="127" t="s">
        <v>470</v>
      </c>
      <c r="O5" s="127" t="s">
        <v>471</v>
      </c>
      <c r="P5" s="127" t="s">
        <v>472</v>
      </c>
      <c r="Q5" s="127" t="s">
        <v>473</v>
      </c>
      <c r="R5" s="127" t="s">
        <v>474</v>
      </c>
      <c r="S5" s="127" t="s">
        <v>475</v>
      </c>
      <c r="T5" s="127" t="s">
        <v>476</v>
      </c>
      <c r="U5" s="127" t="s">
        <v>477</v>
      </c>
      <c r="V5" s="127" t="s">
        <v>478</v>
      </c>
      <c r="W5" s="127" t="s">
        <v>479</v>
      </c>
      <c r="X5" s="127" t="s">
        <v>480</v>
      </c>
      <c r="Y5" s="127" t="s">
        <v>480</v>
      </c>
      <c r="AA5" s="128"/>
      <c r="AB5" s="131"/>
      <c r="AD5" s="128"/>
      <c r="AE5" s="131"/>
    </row>
    <row r="6" spans="1:31" ht="14.25" hidden="1" customHeight="1" outlineLevel="1" x14ac:dyDescent="0.2">
      <c r="G6" s="7"/>
      <c r="I6" s="9" t="s">
        <v>481</v>
      </c>
      <c r="J6" s="9" t="s">
        <v>481</v>
      </c>
      <c r="K6" s="9" t="s">
        <v>491</v>
      </c>
      <c r="L6" s="9" t="s">
        <v>491</v>
      </c>
      <c r="AB6" s="53"/>
      <c r="AE6" s="53"/>
    </row>
    <row r="7" spans="1:31" s="16" customFormat="1" ht="15.75" collapsed="1" x14ac:dyDescent="0.2">
      <c r="F7" s="6" t="s">
        <v>385</v>
      </c>
      <c r="K7" s="18"/>
      <c r="L7" s="18"/>
      <c r="M7" s="19"/>
      <c r="AB7" s="20"/>
      <c r="AE7" s="20"/>
    </row>
    <row r="8" spans="1:31" s="21" customFormat="1" ht="7.5" customHeight="1" x14ac:dyDescent="0.2">
      <c r="F8" s="138"/>
      <c r="G8" s="16"/>
      <c r="J8" s="24"/>
      <c r="K8" s="23"/>
      <c r="L8" s="23"/>
      <c r="Z8" s="16"/>
      <c r="AA8" s="24"/>
      <c r="AB8" s="22"/>
      <c r="AD8" s="24"/>
      <c r="AE8" s="22"/>
    </row>
    <row r="9" spans="1:31" ht="12.75" customHeight="1" x14ac:dyDescent="0.2">
      <c r="F9" s="300" t="s">
        <v>422</v>
      </c>
      <c r="G9" s="16"/>
      <c r="H9" s="135" t="s">
        <v>1</v>
      </c>
      <c r="I9" s="26" t="s">
        <v>1</v>
      </c>
      <c r="J9" s="26" t="s">
        <v>1</v>
      </c>
      <c r="K9" s="136" t="s">
        <v>380</v>
      </c>
      <c r="L9" s="136" t="s">
        <v>449</v>
      </c>
      <c r="M9" s="27" t="s">
        <v>1</v>
      </c>
      <c r="N9" s="27" t="s">
        <v>1</v>
      </c>
      <c r="O9" s="27" t="s">
        <v>1</v>
      </c>
      <c r="P9" s="27" t="s">
        <v>1</v>
      </c>
      <c r="Q9" s="27" t="s">
        <v>1</v>
      </c>
      <c r="R9" s="27" t="s">
        <v>1</v>
      </c>
      <c r="S9" s="27" t="s">
        <v>1</v>
      </c>
      <c r="T9" s="27" t="s">
        <v>1</v>
      </c>
      <c r="U9" s="27" t="s">
        <v>1</v>
      </c>
      <c r="V9" s="27" t="s">
        <v>1</v>
      </c>
      <c r="W9" s="27" t="s">
        <v>1</v>
      </c>
      <c r="X9" s="27" t="s">
        <v>1</v>
      </c>
      <c r="Y9" s="139" t="s">
        <v>1</v>
      </c>
      <c r="Z9" s="16"/>
      <c r="AA9" s="296" t="s">
        <v>482</v>
      </c>
      <c r="AB9" s="298" t="s">
        <v>483</v>
      </c>
      <c r="AC9" s="25"/>
      <c r="AD9" s="296" t="s">
        <v>484</v>
      </c>
      <c r="AE9" s="298" t="s">
        <v>485</v>
      </c>
    </row>
    <row r="10" spans="1:31" ht="12.75" customHeight="1" x14ac:dyDescent="0.2">
      <c r="F10" s="300"/>
      <c r="G10" s="16"/>
      <c r="H10" s="28" t="s">
        <v>486</v>
      </c>
      <c r="I10" s="28" t="s">
        <v>487</v>
      </c>
      <c r="J10" s="28" t="s">
        <v>487</v>
      </c>
      <c r="K10" s="137" t="s">
        <v>450</v>
      </c>
      <c r="L10" s="137" t="s">
        <v>450</v>
      </c>
      <c r="M10" s="29" t="s">
        <v>5</v>
      </c>
      <c r="N10" s="29" t="s">
        <v>6</v>
      </c>
      <c r="O10" s="29" t="s">
        <v>7</v>
      </c>
      <c r="P10" s="29" t="s">
        <v>8</v>
      </c>
      <c r="Q10" s="29" t="s">
        <v>9</v>
      </c>
      <c r="R10" s="29" t="s">
        <v>10</v>
      </c>
      <c r="S10" s="29" t="s">
        <v>321</v>
      </c>
      <c r="T10" s="29" t="s">
        <v>11</v>
      </c>
      <c r="U10" s="29" t="s">
        <v>12</v>
      </c>
      <c r="V10" s="29" t="s">
        <v>13</v>
      </c>
      <c r="W10" s="29" t="s">
        <v>14</v>
      </c>
      <c r="X10" s="29" t="s">
        <v>15</v>
      </c>
      <c r="Y10" s="140" t="s">
        <v>488</v>
      </c>
      <c r="Z10" s="16"/>
      <c r="AA10" s="297"/>
      <c r="AB10" s="299"/>
      <c r="AC10" s="25"/>
      <c r="AD10" s="297"/>
      <c r="AE10" s="299"/>
    </row>
    <row r="11" spans="1:31" ht="18" hidden="1" customHeight="1" outlineLevel="1" x14ac:dyDescent="0.2">
      <c r="A11" s="30" t="s">
        <v>2</v>
      </c>
      <c r="B11" s="30" t="s">
        <v>230</v>
      </c>
      <c r="C11" s="4">
        <v>-0.42579075425790752</v>
      </c>
      <c r="D11" s="4">
        <v>-0.41523442870892341</v>
      </c>
      <c r="F11" s="94" t="s">
        <v>280</v>
      </c>
      <c r="G11" s="16"/>
      <c r="H11" s="59">
        <v>3.5390000000000001</v>
      </c>
      <c r="I11" s="59">
        <v>6.6319999999999997</v>
      </c>
      <c r="J11" s="59">
        <v>6.6319999999999997</v>
      </c>
      <c r="K11" s="86">
        <v>7.3979999999999997</v>
      </c>
      <c r="L11" s="86">
        <v>7.2729999999999997</v>
      </c>
      <c r="M11" s="59">
        <v>-1.9510000000000001</v>
      </c>
      <c r="N11" s="59">
        <v>3.0659999999999998</v>
      </c>
      <c r="O11" s="59">
        <v>0.56100000000000017</v>
      </c>
      <c r="P11" s="59">
        <v>0.44300000000000028</v>
      </c>
      <c r="Q11" s="59">
        <v>0.56199999999999983</v>
      </c>
      <c r="R11" s="59">
        <v>0.54300000000000015</v>
      </c>
      <c r="S11" s="59">
        <v>0.58899999999999997</v>
      </c>
      <c r="T11" s="59">
        <v>0.55599999999999961</v>
      </c>
      <c r="U11" s="59">
        <v>0.53699999999999992</v>
      </c>
      <c r="V11" s="59">
        <v>0.86900000000000066</v>
      </c>
      <c r="W11" s="59">
        <v>0.56799999999999962</v>
      </c>
      <c r="X11" s="59">
        <v>-2.0910000000000002</v>
      </c>
      <c r="Y11" s="59">
        <v>4.2519999999999998</v>
      </c>
      <c r="Z11" s="16"/>
      <c r="AA11" s="59">
        <v>7.3979999999999997</v>
      </c>
      <c r="AB11" s="60">
        <v>-3.15</v>
      </c>
      <c r="AC11" s="31"/>
      <c r="AD11" s="59">
        <v>7.2729999999999997</v>
      </c>
      <c r="AE11" s="60">
        <v>-3.02</v>
      </c>
    </row>
    <row r="12" spans="1:31" ht="18" hidden="1" customHeight="1" outlineLevel="1" x14ac:dyDescent="0.2">
      <c r="A12" s="30" t="s">
        <v>2</v>
      </c>
      <c r="B12" s="30" t="s">
        <v>233</v>
      </c>
      <c r="C12" s="4">
        <v>-8.8056983472026926E-3</v>
      </c>
      <c r="D12" s="4">
        <v>6.7017577335065047E-3</v>
      </c>
      <c r="F12" s="94" t="s">
        <v>281</v>
      </c>
      <c r="G12" s="16"/>
      <c r="H12" s="59">
        <v>2669.2739999999999</v>
      </c>
      <c r="I12" s="59">
        <v>2321.6999999999998</v>
      </c>
      <c r="J12" s="59">
        <v>2321.6999999999998</v>
      </c>
      <c r="K12" s="86">
        <v>1735.24</v>
      </c>
      <c r="L12" s="86">
        <v>1708.5070000000001</v>
      </c>
      <c r="M12" s="59">
        <v>157.286</v>
      </c>
      <c r="N12" s="59">
        <v>138.45299999999997</v>
      </c>
      <c r="O12" s="59">
        <v>139.91300000000001</v>
      </c>
      <c r="P12" s="59">
        <v>153.93</v>
      </c>
      <c r="Q12" s="59">
        <v>143.23000000000002</v>
      </c>
      <c r="R12" s="59">
        <v>147.85400000000004</v>
      </c>
      <c r="S12" s="59">
        <v>123.8839999999999</v>
      </c>
      <c r="T12" s="59">
        <v>143.04500000000007</v>
      </c>
      <c r="U12" s="59">
        <v>135.69299999999998</v>
      </c>
      <c r="V12" s="59">
        <v>143.31799999999998</v>
      </c>
      <c r="W12" s="59">
        <v>145.94299999999998</v>
      </c>
      <c r="X12" s="59">
        <v>147.41300000000001</v>
      </c>
      <c r="Y12" s="59">
        <v>1719.962</v>
      </c>
      <c r="Z12" s="16"/>
      <c r="AA12" s="59">
        <v>1735.24</v>
      </c>
      <c r="AB12" s="60">
        <v>-15.28</v>
      </c>
      <c r="AC12" s="31"/>
      <c r="AD12" s="59">
        <v>1708.5070000000003</v>
      </c>
      <c r="AE12" s="60">
        <v>11.45</v>
      </c>
    </row>
    <row r="13" spans="1:31" ht="18" hidden="1" customHeight="1" outlineLevel="1" x14ac:dyDescent="0.2">
      <c r="A13" s="30" t="s">
        <v>2</v>
      </c>
      <c r="B13" s="30" t="s">
        <v>229</v>
      </c>
      <c r="C13" s="4">
        <v>0</v>
      </c>
      <c r="D13" s="4">
        <v>0</v>
      </c>
      <c r="F13" s="94" t="s">
        <v>282</v>
      </c>
      <c r="G13" s="16"/>
      <c r="H13" s="59">
        <v>0</v>
      </c>
      <c r="I13" s="59">
        <v>0</v>
      </c>
      <c r="J13" s="59">
        <v>0</v>
      </c>
      <c r="K13" s="86">
        <v>0</v>
      </c>
      <c r="L13" s="86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16"/>
      <c r="AA13" s="59">
        <v>0</v>
      </c>
      <c r="AB13" s="60">
        <v>0</v>
      </c>
      <c r="AC13" s="31"/>
      <c r="AD13" s="59">
        <v>0</v>
      </c>
      <c r="AE13" s="60">
        <v>0</v>
      </c>
    </row>
    <row r="14" spans="1:31" ht="18" hidden="1" customHeight="1" outlineLevel="1" x14ac:dyDescent="0.2">
      <c r="A14" s="30" t="s">
        <v>2</v>
      </c>
      <c r="B14" s="30" t="s">
        <v>232</v>
      </c>
      <c r="C14" s="4">
        <v>0.11874344617878718</v>
      </c>
      <c r="D14" s="4">
        <v>-6.6564074985627668E-4</v>
      </c>
      <c r="F14" s="94" t="s">
        <v>283</v>
      </c>
      <c r="G14" s="16"/>
      <c r="H14" s="59">
        <v>3340.0259999999998</v>
      </c>
      <c r="I14" s="59">
        <v>4169.4279999999999</v>
      </c>
      <c r="J14" s="59">
        <v>4169.4279999999999</v>
      </c>
      <c r="K14" s="86">
        <v>3730.6480000000001</v>
      </c>
      <c r="L14" s="86">
        <v>4176.4269999999997</v>
      </c>
      <c r="M14" s="59">
        <v>365.096</v>
      </c>
      <c r="N14" s="59">
        <v>312.03300000000002</v>
      </c>
      <c r="O14" s="59">
        <v>319.02699999999993</v>
      </c>
      <c r="P14" s="59">
        <v>336.60599999999999</v>
      </c>
      <c r="Q14" s="59">
        <v>403.30799999999999</v>
      </c>
      <c r="R14" s="59">
        <v>353.51300000000015</v>
      </c>
      <c r="S14" s="59">
        <v>341.93199999999979</v>
      </c>
      <c r="T14" s="59">
        <v>341.93299999999999</v>
      </c>
      <c r="U14" s="59">
        <v>358.4680000000003</v>
      </c>
      <c r="V14" s="59">
        <v>353.52799999999979</v>
      </c>
      <c r="W14" s="59">
        <v>344.38099999999986</v>
      </c>
      <c r="X14" s="59">
        <v>343.81700000000001</v>
      </c>
      <c r="Y14" s="59">
        <v>4173.6419999999998</v>
      </c>
      <c r="Z14" s="16"/>
      <c r="AA14" s="59">
        <v>3730.6479999999997</v>
      </c>
      <c r="AB14" s="60">
        <v>442.99</v>
      </c>
      <c r="AC14" s="31"/>
      <c r="AD14" s="59">
        <v>4176.4269999999997</v>
      </c>
      <c r="AE14" s="60">
        <v>-2.78</v>
      </c>
    </row>
    <row r="15" spans="1:31" ht="18" hidden="1" customHeight="1" outlineLevel="1" x14ac:dyDescent="0.2">
      <c r="A15" s="30" t="s">
        <v>2</v>
      </c>
      <c r="B15" s="30" t="s">
        <v>231</v>
      </c>
      <c r="C15" s="4">
        <v>0</v>
      </c>
      <c r="D15" s="4">
        <v>0</v>
      </c>
      <c r="F15" s="94" t="s">
        <v>284</v>
      </c>
      <c r="G15" s="16"/>
      <c r="H15" s="59">
        <v>0</v>
      </c>
      <c r="I15" s="59">
        <v>0</v>
      </c>
      <c r="J15" s="59">
        <v>0</v>
      </c>
      <c r="K15" s="86">
        <v>0</v>
      </c>
      <c r="L15" s="86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16"/>
      <c r="AA15" s="59">
        <v>0</v>
      </c>
      <c r="AB15" s="60">
        <v>0</v>
      </c>
      <c r="AC15" s="31"/>
      <c r="AD15" s="59">
        <v>0</v>
      </c>
      <c r="AE15" s="60">
        <v>0</v>
      </c>
    </row>
    <row r="16" spans="1:31" ht="18" customHeight="1" collapsed="1" x14ac:dyDescent="0.2">
      <c r="A16" s="30" t="s">
        <v>2</v>
      </c>
      <c r="B16" s="30" t="s">
        <v>203</v>
      </c>
      <c r="C16" s="4">
        <v>7.7571316390190465E-2</v>
      </c>
      <c r="D16" s="4">
        <v>9.5889367091142607E-4</v>
      </c>
      <c r="E16" s="9"/>
      <c r="F16" s="51" t="s">
        <v>285</v>
      </c>
      <c r="G16" s="16"/>
      <c r="H16" s="61">
        <v>6012.8389999999999</v>
      </c>
      <c r="I16" s="61">
        <v>6497.76</v>
      </c>
      <c r="J16" s="61">
        <v>6497.76</v>
      </c>
      <c r="K16" s="86">
        <v>5473.2860000000001</v>
      </c>
      <c r="L16" s="86">
        <v>5892.2070000000003</v>
      </c>
      <c r="M16" s="61">
        <v>520.43100000000004</v>
      </c>
      <c r="N16" s="61">
        <v>453.55199999999991</v>
      </c>
      <c r="O16" s="61">
        <v>459.50099999999998</v>
      </c>
      <c r="P16" s="61">
        <v>490.97900000000004</v>
      </c>
      <c r="Q16" s="61">
        <v>547.10000000000014</v>
      </c>
      <c r="R16" s="61">
        <v>501.90999999999985</v>
      </c>
      <c r="S16" s="61">
        <v>466.4050000000002</v>
      </c>
      <c r="T16" s="61">
        <v>485.53399999999965</v>
      </c>
      <c r="U16" s="61">
        <v>494.69799999999987</v>
      </c>
      <c r="V16" s="61">
        <v>497.71500000000015</v>
      </c>
      <c r="W16" s="61">
        <v>490.89199999999983</v>
      </c>
      <c r="X16" s="61">
        <v>489.13900000000012</v>
      </c>
      <c r="Y16" s="61">
        <v>5897.8559999999998</v>
      </c>
      <c r="Z16" s="16"/>
      <c r="AA16" s="61">
        <v>5473.2860000000001</v>
      </c>
      <c r="AB16" s="60">
        <v>424.57</v>
      </c>
      <c r="AD16" s="61">
        <v>5892.2069999999994</v>
      </c>
      <c r="AE16" s="60">
        <v>5.65</v>
      </c>
    </row>
    <row r="17" spans="1:33" ht="18" customHeight="1" x14ac:dyDescent="0.2">
      <c r="A17" s="30" t="s">
        <v>2</v>
      </c>
      <c r="B17" s="30" t="s">
        <v>31</v>
      </c>
      <c r="C17" s="4">
        <v>0</v>
      </c>
      <c r="D17" s="4">
        <v>0</v>
      </c>
      <c r="F17" s="51" t="s">
        <v>286</v>
      </c>
      <c r="G17" s="16"/>
      <c r="H17" s="61">
        <v>0</v>
      </c>
      <c r="I17" s="61">
        <v>0</v>
      </c>
      <c r="J17" s="61">
        <v>0</v>
      </c>
      <c r="K17" s="86">
        <v>0</v>
      </c>
      <c r="L17" s="86">
        <v>0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61">
        <v>0</v>
      </c>
      <c r="W17" s="61">
        <v>0</v>
      </c>
      <c r="X17" s="61">
        <v>0</v>
      </c>
      <c r="Y17" s="61">
        <v>0</v>
      </c>
      <c r="Z17" s="16"/>
      <c r="AA17" s="61">
        <v>0</v>
      </c>
      <c r="AB17" s="60">
        <v>0</v>
      </c>
      <c r="AD17" s="61">
        <v>0</v>
      </c>
      <c r="AE17" s="60">
        <v>0</v>
      </c>
    </row>
    <row r="18" spans="1:33" s="7" customFormat="1" ht="18" customHeight="1" x14ac:dyDescent="0.2">
      <c r="A18" s="32"/>
      <c r="B18" s="32"/>
      <c r="C18" s="4">
        <v>7.7571316390190465E-2</v>
      </c>
      <c r="D18" s="4">
        <v>9.5889367091142607E-4</v>
      </c>
      <c r="E18" s="8"/>
      <c r="F18" s="45" t="s">
        <v>217</v>
      </c>
      <c r="G18" s="16"/>
      <c r="H18" s="62">
        <v>6012.8389999999999</v>
      </c>
      <c r="I18" s="62">
        <v>6497.76</v>
      </c>
      <c r="J18" s="62">
        <v>6497.76</v>
      </c>
      <c r="K18" s="108">
        <v>5473.2860000000001</v>
      </c>
      <c r="L18" s="108">
        <v>5892.2070000000003</v>
      </c>
      <c r="M18" s="62">
        <v>520.43100000000004</v>
      </c>
      <c r="N18" s="62">
        <v>453.55199999999991</v>
      </c>
      <c r="O18" s="62">
        <v>459.50099999999998</v>
      </c>
      <c r="P18" s="62">
        <v>490.97900000000004</v>
      </c>
      <c r="Q18" s="62">
        <v>547.10000000000014</v>
      </c>
      <c r="R18" s="62">
        <v>501.90999999999985</v>
      </c>
      <c r="S18" s="62">
        <v>466.4050000000002</v>
      </c>
      <c r="T18" s="62">
        <v>485.53399999999965</v>
      </c>
      <c r="U18" s="62">
        <v>494.69799999999987</v>
      </c>
      <c r="V18" s="62">
        <v>497.71500000000015</v>
      </c>
      <c r="W18" s="62">
        <v>490.89199999999983</v>
      </c>
      <c r="X18" s="62">
        <v>489.13900000000012</v>
      </c>
      <c r="Y18" s="62">
        <v>5897.8559999999998</v>
      </c>
      <c r="Z18" s="16"/>
      <c r="AA18" s="62">
        <v>5473.2860000000001</v>
      </c>
      <c r="AB18" s="60">
        <v>424.57</v>
      </c>
      <c r="AD18" s="62">
        <v>5892.2069999999994</v>
      </c>
      <c r="AE18" s="60">
        <v>5.65</v>
      </c>
    </row>
    <row r="19" spans="1:33" ht="8.25" customHeight="1" x14ac:dyDescent="0.2">
      <c r="A19" s="116"/>
      <c r="F19" s="8"/>
      <c r="G19" s="16"/>
      <c r="K19" s="8"/>
      <c r="L19" s="8"/>
      <c r="Z19" s="16"/>
      <c r="AB19" s="8"/>
      <c r="AE19" s="8"/>
    </row>
    <row r="20" spans="1:33" s="7" customFormat="1" ht="18" customHeight="1" x14ac:dyDescent="0.2">
      <c r="A20" s="117" t="s">
        <v>310</v>
      </c>
      <c r="B20" s="117" t="s">
        <v>203</v>
      </c>
      <c r="C20" s="5">
        <v>-0.34860788863109049</v>
      </c>
      <c r="D20" s="5">
        <v>0.1796218487394958</v>
      </c>
      <c r="F20" s="118" t="s">
        <v>326</v>
      </c>
      <c r="G20" s="16"/>
      <c r="H20" s="120">
        <v>744.74199999999996</v>
      </c>
      <c r="I20" s="120">
        <v>415.10399999999998</v>
      </c>
      <c r="J20" s="120">
        <v>415.10399999999998</v>
      </c>
      <c r="K20" s="121">
        <v>431</v>
      </c>
      <c r="L20" s="121">
        <v>238</v>
      </c>
      <c r="M20" s="120">
        <v>27.937000000000001</v>
      </c>
      <c r="N20" s="120">
        <v>22.568999999999999</v>
      </c>
      <c r="O20" s="120">
        <v>29.397999999999996</v>
      </c>
      <c r="P20" s="120">
        <v>22.037000000000006</v>
      </c>
      <c r="Q20" s="120">
        <v>7.688999999999993</v>
      </c>
      <c r="R20" s="120">
        <v>33.549000000000007</v>
      </c>
      <c r="S20" s="120">
        <v>16.730999999999995</v>
      </c>
      <c r="T20" s="120">
        <v>20.179000000000002</v>
      </c>
      <c r="U20" s="120">
        <v>12.990000000000009</v>
      </c>
      <c r="V20" s="120">
        <v>4.0569999999999879</v>
      </c>
      <c r="W20" s="120">
        <v>29.808999999999997</v>
      </c>
      <c r="X20" s="120">
        <v>53.807000000000016</v>
      </c>
      <c r="Y20" s="120">
        <v>280.75200000000001</v>
      </c>
      <c r="Z20" s="16"/>
      <c r="AA20" s="120">
        <v>431</v>
      </c>
      <c r="AB20" s="60">
        <v>-150.25</v>
      </c>
      <c r="AC20" s="239"/>
      <c r="AD20" s="120">
        <v>238</v>
      </c>
      <c r="AE20" s="60">
        <v>42.75</v>
      </c>
    </row>
    <row r="21" spans="1:33" ht="8.25" customHeight="1" x14ac:dyDescent="0.2">
      <c r="A21" s="116"/>
      <c r="F21" s="8"/>
      <c r="G21" s="16"/>
      <c r="K21" s="8"/>
      <c r="L21" s="8"/>
      <c r="Z21" s="16"/>
      <c r="AB21" s="8"/>
      <c r="AE21" s="8"/>
    </row>
    <row r="22" spans="1:33" ht="18" customHeight="1" x14ac:dyDescent="0.2">
      <c r="A22" s="30" t="s">
        <v>310</v>
      </c>
      <c r="B22" s="30" t="s">
        <v>115</v>
      </c>
      <c r="C22" s="4">
        <v>0</v>
      </c>
      <c r="D22" s="4">
        <v>0</v>
      </c>
      <c r="F22" s="51" t="s">
        <v>327</v>
      </c>
      <c r="G22" s="16"/>
      <c r="H22" s="61">
        <v>0</v>
      </c>
      <c r="I22" s="61">
        <v>0</v>
      </c>
      <c r="J22" s="61">
        <v>0</v>
      </c>
      <c r="K22" s="86">
        <v>0</v>
      </c>
      <c r="L22" s="86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16"/>
      <c r="AA22" s="61">
        <v>0</v>
      </c>
      <c r="AB22" s="60">
        <v>0</v>
      </c>
      <c r="AC22" s="34"/>
      <c r="AD22" s="61">
        <v>0</v>
      </c>
      <c r="AE22" s="60">
        <v>0</v>
      </c>
    </row>
    <row r="23" spans="1:33" ht="18" customHeight="1" x14ac:dyDescent="0.2">
      <c r="A23" s="30" t="s">
        <v>310</v>
      </c>
      <c r="B23" s="30" t="s">
        <v>116</v>
      </c>
      <c r="C23" s="4">
        <v>0</v>
      </c>
      <c r="D23" s="4">
        <v>0</v>
      </c>
      <c r="F23" s="51" t="s">
        <v>328</v>
      </c>
      <c r="G23" s="16"/>
      <c r="H23" s="61">
        <v>0</v>
      </c>
      <c r="I23" s="61">
        <v>0</v>
      </c>
      <c r="J23" s="61">
        <v>0</v>
      </c>
      <c r="K23" s="86">
        <v>0</v>
      </c>
      <c r="L23" s="86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16"/>
      <c r="AA23" s="61">
        <v>0</v>
      </c>
      <c r="AB23" s="60">
        <v>0</v>
      </c>
      <c r="AC23" s="34"/>
      <c r="AD23" s="61">
        <v>0</v>
      </c>
      <c r="AE23" s="60">
        <v>0</v>
      </c>
    </row>
    <row r="24" spans="1:33" ht="18" hidden="1" customHeight="1" outlineLevel="1" x14ac:dyDescent="0.2">
      <c r="A24" s="46" t="s">
        <v>298</v>
      </c>
      <c r="B24" s="46" t="s">
        <v>117</v>
      </c>
      <c r="C24" s="47">
        <v>-1.0033444816053512</v>
      </c>
      <c r="D24" s="47">
        <v>-1.0033444816053512</v>
      </c>
      <c r="E24" s="31"/>
      <c r="F24" s="94" t="s">
        <v>329</v>
      </c>
      <c r="G24" s="16"/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-0.29899999999999999</v>
      </c>
      <c r="X24" s="59">
        <v>0</v>
      </c>
      <c r="Y24" s="59">
        <v>-0.29899999999999999</v>
      </c>
      <c r="Z24" s="16"/>
      <c r="AA24" s="59">
        <v>0</v>
      </c>
      <c r="AB24" s="63">
        <v>-0.3</v>
      </c>
      <c r="AC24" s="31"/>
      <c r="AD24" s="59">
        <v>0</v>
      </c>
      <c r="AE24" s="63">
        <v>-0.3</v>
      </c>
    </row>
    <row r="25" spans="1:33" ht="18" customHeight="1" collapsed="1" x14ac:dyDescent="0.2">
      <c r="A25" s="32"/>
      <c r="B25" s="32"/>
      <c r="C25" s="4">
        <v>0</v>
      </c>
      <c r="D25" s="4">
        <v>0</v>
      </c>
      <c r="F25" s="51" t="s">
        <v>372</v>
      </c>
      <c r="G25" s="16"/>
      <c r="H25" s="61">
        <v>0</v>
      </c>
      <c r="I25" s="61">
        <v>0</v>
      </c>
      <c r="J25" s="61">
        <v>0</v>
      </c>
      <c r="K25" s="86">
        <v>0</v>
      </c>
      <c r="L25" s="86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16"/>
      <c r="AA25" s="61">
        <v>0</v>
      </c>
      <c r="AB25" s="60">
        <v>0</v>
      </c>
      <c r="AC25" s="34"/>
      <c r="AD25" s="61">
        <v>0</v>
      </c>
      <c r="AE25" s="60">
        <v>0</v>
      </c>
      <c r="AG25" s="48"/>
    </row>
    <row r="26" spans="1:33" ht="18" customHeight="1" x14ac:dyDescent="0.2">
      <c r="A26" s="30" t="s">
        <v>310</v>
      </c>
      <c r="B26" s="30" t="s">
        <v>330</v>
      </c>
      <c r="C26" s="4">
        <v>0</v>
      </c>
      <c r="D26" s="4">
        <v>0</v>
      </c>
      <c r="F26" s="51" t="s">
        <v>331</v>
      </c>
      <c r="G26" s="16"/>
      <c r="H26" s="61">
        <v>0</v>
      </c>
      <c r="I26" s="61">
        <v>0</v>
      </c>
      <c r="J26" s="61">
        <v>0</v>
      </c>
      <c r="K26" s="86">
        <v>0</v>
      </c>
      <c r="L26" s="86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16"/>
      <c r="AA26" s="61">
        <v>0</v>
      </c>
      <c r="AB26" s="60">
        <v>0</v>
      </c>
      <c r="AC26" s="34"/>
      <c r="AD26" s="61">
        <v>0</v>
      </c>
      <c r="AE26" s="60">
        <v>0</v>
      </c>
    </row>
    <row r="27" spans="1:33" ht="18" customHeight="1" x14ac:dyDescent="0.2">
      <c r="A27" s="30" t="s">
        <v>310</v>
      </c>
      <c r="B27" s="30" t="s">
        <v>332</v>
      </c>
      <c r="C27" s="4">
        <v>0</v>
      </c>
      <c r="D27" s="4">
        <v>0</v>
      </c>
      <c r="F27" s="51" t="s">
        <v>333</v>
      </c>
      <c r="G27" s="16"/>
      <c r="H27" s="61">
        <v>0</v>
      </c>
      <c r="I27" s="61">
        <v>0</v>
      </c>
      <c r="J27" s="61">
        <v>0</v>
      </c>
      <c r="K27" s="86">
        <v>0</v>
      </c>
      <c r="L27" s="86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16"/>
      <c r="AA27" s="61">
        <v>0</v>
      </c>
      <c r="AB27" s="60">
        <v>0</v>
      </c>
      <c r="AC27" s="34"/>
      <c r="AD27" s="61">
        <v>0</v>
      </c>
      <c r="AE27" s="60">
        <v>0</v>
      </c>
    </row>
    <row r="28" spans="1:33" ht="18" customHeight="1" x14ac:dyDescent="0.2">
      <c r="A28" s="30" t="s">
        <v>310</v>
      </c>
      <c r="B28" s="30" t="s">
        <v>335</v>
      </c>
      <c r="C28" s="4">
        <v>0</v>
      </c>
      <c r="D28" s="4">
        <v>0</v>
      </c>
      <c r="F28" s="51" t="s">
        <v>336</v>
      </c>
      <c r="G28" s="16"/>
      <c r="H28" s="61">
        <v>0</v>
      </c>
      <c r="I28" s="61">
        <v>0</v>
      </c>
      <c r="J28" s="61">
        <v>0</v>
      </c>
      <c r="K28" s="86">
        <v>0</v>
      </c>
      <c r="L28" s="86">
        <v>0</v>
      </c>
      <c r="M28" s="61">
        <v>0</v>
      </c>
      <c r="N28" s="61">
        <v>0</v>
      </c>
      <c r="O28" s="61">
        <v>0</v>
      </c>
      <c r="P28" s="61">
        <v>0</v>
      </c>
      <c r="Q28" s="61">
        <v>0</v>
      </c>
      <c r="R28" s="61">
        <v>0</v>
      </c>
      <c r="S28" s="61">
        <v>0</v>
      </c>
      <c r="T28" s="61">
        <v>0</v>
      </c>
      <c r="U28" s="61">
        <v>0</v>
      </c>
      <c r="V28" s="61">
        <v>0</v>
      </c>
      <c r="W28" s="61">
        <v>0</v>
      </c>
      <c r="X28" s="61">
        <v>0</v>
      </c>
      <c r="Y28" s="61">
        <v>0</v>
      </c>
      <c r="Z28" s="16"/>
      <c r="AA28" s="61">
        <v>0</v>
      </c>
      <c r="AB28" s="60">
        <v>0</v>
      </c>
      <c r="AC28" s="34"/>
      <c r="AD28" s="61">
        <v>0</v>
      </c>
      <c r="AE28" s="60">
        <v>0</v>
      </c>
    </row>
    <row r="29" spans="1:33" ht="18" customHeight="1" x14ac:dyDescent="0.2">
      <c r="A29" s="30" t="s">
        <v>310</v>
      </c>
      <c r="B29" s="30" t="s">
        <v>337</v>
      </c>
      <c r="C29" s="4">
        <v>0</v>
      </c>
      <c r="D29" s="4">
        <v>0</v>
      </c>
      <c r="F29" s="51" t="s">
        <v>338</v>
      </c>
      <c r="G29" s="16"/>
      <c r="H29" s="61">
        <v>0</v>
      </c>
      <c r="I29" s="61">
        <v>0</v>
      </c>
      <c r="J29" s="61">
        <v>0</v>
      </c>
      <c r="K29" s="86">
        <v>0</v>
      </c>
      <c r="L29" s="86">
        <v>0</v>
      </c>
      <c r="M29" s="61">
        <v>0</v>
      </c>
      <c r="N29" s="61">
        <v>0</v>
      </c>
      <c r="O29" s="61">
        <v>0</v>
      </c>
      <c r="P29" s="61">
        <v>0</v>
      </c>
      <c r="Q29" s="61">
        <v>0</v>
      </c>
      <c r="R29" s="61">
        <v>0</v>
      </c>
      <c r="S29" s="61">
        <v>0</v>
      </c>
      <c r="T29" s="61">
        <v>0</v>
      </c>
      <c r="U29" s="61">
        <v>0</v>
      </c>
      <c r="V29" s="61">
        <v>0</v>
      </c>
      <c r="W29" s="61">
        <v>0</v>
      </c>
      <c r="X29" s="61">
        <v>0</v>
      </c>
      <c r="Y29" s="61">
        <v>0</v>
      </c>
      <c r="Z29" s="16"/>
      <c r="AA29" s="61">
        <v>0</v>
      </c>
      <c r="AB29" s="60">
        <v>0</v>
      </c>
      <c r="AC29" s="34"/>
      <c r="AD29" s="61">
        <v>0</v>
      </c>
      <c r="AE29" s="60">
        <v>0</v>
      </c>
    </row>
    <row r="30" spans="1:33" ht="18" customHeight="1" x14ac:dyDescent="0.2">
      <c r="A30" s="30" t="s">
        <v>310</v>
      </c>
      <c r="B30" s="30" t="s">
        <v>458</v>
      </c>
      <c r="C30" s="4">
        <v>0</v>
      </c>
      <c r="D30" s="4">
        <v>0</v>
      </c>
      <c r="F30" s="213" t="s">
        <v>443</v>
      </c>
      <c r="G30" s="16"/>
      <c r="H30" s="61">
        <v>0</v>
      </c>
      <c r="I30" s="61">
        <v>0</v>
      </c>
      <c r="J30" s="61">
        <v>0</v>
      </c>
      <c r="K30" s="86">
        <v>0</v>
      </c>
      <c r="L30" s="86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16"/>
      <c r="AA30" s="61">
        <v>0</v>
      </c>
      <c r="AB30" s="60">
        <v>0</v>
      </c>
      <c r="AC30" s="34"/>
      <c r="AD30" s="61">
        <v>0</v>
      </c>
      <c r="AE30" s="60">
        <v>0</v>
      </c>
    </row>
    <row r="31" spans="1:33" ht="18" customHeight="1" x14ac:dyDescent="0.2">
      <c r="A31" s="30" t="s">
        <v>310</v>
      </c>
      <c r="B31" s="30" t="s">
        <v>341</v>
      </c>
      <c r="C31" s="4">
        <v>0</v>
      </c>
      <c r="D31" s="4">
        <v>0</v>
      </c>
      <c r="F31" s="51" t="s">
        <v>342</v>
      </c>
      <c r="G31" s="16"/>
      <c r="H31" s="61">
        <v>0</v>
      </c>
      <c r="I31" s="61">
        <v>0</v>
      </c>
      <c r="J31" s="61">
        <v>0</v>
      </c>
      <c r="K31" s="86">
        <v>0</v>
      </c>
      <c r="L31" s="86">
        <v>0</v>
      </c>
      <c r="M31" s="61">
        <v>0</v>
      </c>
      <c r="N31" s="61">
        <v>0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16"/>
      <c r="AA31" s="61">
        <v>0</v>
      </c>
      <c r="AB31" s="60">
        <v>0</v>
      </c>
      <c r="AC31" s="34"/>
      <c r="AD31" s="61">
        <v>0</v>
      </c>
      <c r="AE31" s="60">
        <v>0</v>
      </c>
    </row>
    <row r="32" spans="1:33" ht="18" customHeight="1" x14ac:dyDescent="0.2">
      <c r="A32" s="32"/>
      <c r="B32" s="32"/>
      <c r="C32" s="4">
        <v>0</v>
      </c>
      <c r="D32" s="4">
        <v>0</v>
      </c>
      <c r="F32" s="51" t="s">
        <v>343</v>
      </c>
      <c r="G32" s="16"/>
      <c r="H32" s="61">
        <v>1.1102230246251565E-14</v>
      </c>
      <c r="I32" s="61">
        <v>2.7755575615628914E-14</v>
      </c>
      <c r="J32" s="61">
        <v>2.7755575615628914E-14</v>
      </c>
      <c r="K32" s="86">
        <v>0</v>
      </c>
      <c r="L32" s="86">
        <v>2.1316282072803006E-14</v>
      </c>
      <c r="M32" s="61">
        <v>0</v>
      </c>
      <c r="N32" s="61">
        <v>0</v>
      </c>
      <c r="O32" s="61">
        <v>3.5527136788005009E-15</v>
      </c>
      <c r="P32" s="61">
        <v>-7.3274719625260332E-15</v>
      </c>
      <c r="Q32" s="61">
        <v>1.4210854715202004E-14</v>
      </c>
      <c r="R32" s="61">
        <v>-1.7763568394002505E-14</v>
      </c>
      <c r="S32" s="61">
        <v>-3.5527136788005009E-15</v>
      </c>
      <c r="T32" s="61">
        <v>0</v>
      </c>
      <c r="U32" s="61">
        <v>1.0658141036401503E-14</v>
      </c>
      <c r="V32" s="61">
        <v>-7.1054273576010019E-15</v>
      </c>
      <c r="W32" s="61">
        <v>1.4210854715202004E-14</v>
      </c>
      <c r="X32" s="61">
        <v>-3.5527136788005009E-14</v>
      </c>
      <c r="Y32" s="61">
        <v>-2.8643754035329039E-14</v>
      </c>
      <c r="Z32" s="16"/>
      <c r="AA32" s="61">
        <v>0</v>
      </c>
      <c r="AB32" s="60">
        <v>0</v>
      </c>
      <c r="AC32" s="34"/>
      <c r="AD32" s="61">
        <v>2.1316282072803006E-14</v>
      </c>
      <c r="AE32" s="60">
        <v>0</v>
      </c>
    </row>
    <row r="33" spans="1:33" s="7" customFormat="1" ht="18" customHeight="1" x14ac:dyDescent="0.2">
      <c r="A33" s="32"/>
      <c r="B33" s="32"/>
      <c r="C33" s="5">
        <v>0</v>
      </c>
      <c r="D33" s="5">
        <v>0</v>
      </c>
      <c r="F33" s="118" t="s">
        <v>373</v>
      </c>
      <c r="G33" s="16"/>
      <c r="H33" s="120">
        <v>1.1102230246251565E-14</v>
      </c>
      <c r="I33" s="120">
        <v>2.7755575615628914E-14</v>
      </c>
      <c r="J33" s="120">
        <v>2.7755575615628914E-14</v>
      </c>
      <c r="K33" s="121">
        <v>0</v>
      </c>
      <c r="L33" s="121">
        <v>2.1316282072803006E-14</v>
      </c>
      <c r="M33" s="120">
        <v>0</v>
      </c>
      <c r="N33" s="120">
        <v>0</v>
      </c>
      <c r="O33" s="120">
        <v>3.5527136788005009E-15</v>
      </c>
      <c r="P33" s="120">
        <v>-7.3274719625260332E-15</v>
      </c>
      <c r="Q33" s="120">
        <v>1.4210854715202004E-14</v>
      </c>
      <c r="R33" s="120">
        <v>-1.7763568394002505E-14</v>
      </c>
      <c r="S33" s="120">
        <v>-3.5527136788005009E-15</v>
      </c>
      <c r="T33" s="120">
        <v>0</v>
      </c>
      <c r="U33" s="120">
        <v>1.0658141036401503E-14</v>
      </c>
      <c r="V33" s="120">
        <v>-7.1054273576010019E-15</v>
      </c>
      <c r="W33" s="120">
        <v>1.4210854715202004E-14</v>
      </c>
      <c r="X33" s="120">
        <v>-3.5527136788005009E-14</v>
      </c>
      <c r="Y33" s="120">
        <v>-2.8643754035329039E-14</v>
      </c>
      <c r="Z33" s="16"/>
      <c r="AA33" s="120">
        <v>0</v>
      </c>
      <c r="AB33" s="60">
        <v>0</v>
      </c>
      <c r="AC33" s="239"/>
      <c r="AD33" s="120">
        <v>2.1316282072803006E-14</v>
      </c>
      <c r="AE33" s="60">
        <v>0</v>
      </c>
      <c r="AF33" s="239"/>
    </row>
    <row r="34" spans="1:33" ht="8.25" customHeight="1" x14ac:dyDescent="0.2">
      <c r="A34" s="116"/>
      <c r="B34" s="116"/>
      <c r="C34" s="4"/>
      <c r="D34" s="4"/>
      <c r="F34" s="8"/>
      <c r="G34" s="16"/>
      <c r="K34" s="8"/>
      <c r="L34" s="8"/>
      <c r="Z34" s="16"/>
      <c r="AB34" s="8"/>
      <c r="AE34" s="8"/>
    </row>
    <row r="35" spans="1:33" ht="18" hidden="1" customHeight="1" outlineLevel="1" x14ac:dyDescent="0.2">
      <c r="A35" s="46" t="s">
        <v>303</v>
      </c>
      <c r="B35" s="46" t="s">
        <v>17</v>
      </c>
      <c r="C35" s="47">
        <v>0</v>
      </c>
      <c r="D35" s="47">
        <v>-1</v>
      </c>
      <c r="E35" s="31"/>
      <c r="F35" s="94" t="s">
        <v>346</v>
      </c>
      <c r="G35" s="16"/>
      <c r="H35" s="59">
        <v>0</v>
      </c>
      <c r="I35" s="59">
        <v>0</v>
      </c>
      <c r="J35" s="59">
        <v>0</v>
      </c>
      <c r="K35" s="59">
        <v>0</v>
      </c>
      <c r="L35" s="59">
        <v>44.1</v>
      </c>
      <c r="M35" s="59">
        <v>0</v>
      </c>
      <c r="N35" s="59">
        <v>0</v>
      </c>
      <c r="O35" s="59">
        <v>0</v>
      </c>
      <c r="P35" s="59">
        <v>0</v>
      </c>
      <c r="Q35" s="59">
        <v>0</v>
      </c>
      <c r="R35" s="59">
        <v>0</v>
      </c>
      <c r="S35" s="59">
        <v>0</v>
      </c>
      <c r="T35" s="59">
        <v>0</v>
      </c>
      <c r="U35" s="59">
        <v>0</v>
      </c>
      <c r="V35" s="59">
        <v>0</v>
      </c>
      <c r="W35" s="59">
        <v>0</v>
      </c>
      <c r="X35" s="59">
        <v>0</v>
      </c>
      <c r="Y35" s="59">
        <v>0</v>
      </c>
      <c r="Z35" s="16"/>
      <c r="AA35" s="59">
        <v>0</v>
      </c>
      <c r="AB35" s="63">
        <v>0</v>
      </c>
      <c r="AC35" s="31"/>
      <c r="AD35" s="59">
        <v>44.1</v>
      </c>
      <c r="AE35" s="63">
        <v>-44.1</v>
      </c>
    </row>
    <row r="36" spans="1:33" ht="18" hidden="1" customHeight="1" outlineLevel="1" x14ac:dyDescent="0.2">
      <c r="A36" s="46" t="s">
        <v>301</v>
      </c>
      <c r="B36" s="46" t="s">
        <v>304</v>
      </c>
      <c r="C36" s="47">
        <v>1.0000425821836143</v>
      </c>
      <c r="D36" s="47">
        <v>1.0000425821836143</v>
      </c>
      <c r="E36" s="31"/>
      <c r="F36" s="94" t="s">
        <v>347</v>
      </c>
      <c r="G36" s="16"/>
      <c r="H36" s="59">
        <v>0</v>
      </c>
      <c r="I36" s="59">
        <v>0.442</v>
      </c>
      <c r="J36" s="59">
        <v>0.442</v>
      </c>
      <c r="K36" s="59">
        <v>0</v>
      </c>
      <c r="L36" s="59">
        <v>0</v>
      </c>
      <c r="M36" s="59">
        <v>0</v>
      </c>
      <c r="N36" s="59">
        <v>0</v>
      </c>
      <c r="O36" s="59">
        <v>7.2240000000000002</v>
      </c>
      <c r="P36" s="59">
        <v>0</v>
      </c>
      <c r="Q36" s="59">
        <v>0</v>
      </c>
      <c r="R36" s="59">
        <v>14.675000000000001</v>
      </c>
      <c r="S36" s="59">
        <v>1.5470000000000006</v>
      </c>
      <c r="T36" s="59">
        <v>2.6009999999999991</v>
      </c>
      <c r="U36" s="59">
        <v>1.8000000000000007</v>
      </c>
      <c r="V36" s="59">
        <v>-1.4480000000000004</v>
      </c>
      <c r="W36" s="59">
        <v>13.695</v>
      </c>
      <c r="X36" s="59">
        <v>6.8740000000000023</v>
      </c>
      <c r="Y36" s="59">
        <v>46.968000000000004</v>
      </c>
      <c r="Z36" s="16"/>
      <c r="AA36" s="59">
        <v>0</v>
      </c>
      <c r="AB36" s="63">
        <v>46.97</v>
      </c>
      <c r="AC36" s="31"/>
      <c r="AD36" s="59">
        <v>0</v>
      </c>
      <c r="AE36" s="63">
        <v>46.97</v>
      </c>
    </row>
    <row r="37" spans="1:33" ht="18" customHeight="1" collapsed="1" x14ac:dyDescent="0.2">
      <c r="A37" s="32"/>
      <c r="B37" s="32"/>
      <c r="C37" s="4">
        <v>1.0000425821836143</v>
      </c>
      <c r="D37" s="4">
        <v>6.5079365079365084E-2</v>
      </c>
      <c r="F37" s="213" t="s">
        <v>436</v>
      </c>
      <c r="G37" s="16"/>
      <c r="H37" s="61">
        <v>0</v>
      </c>
      <c r="I37" s="61">
        <v>0.442</v>
      </c>
      <c r="J37" s="61">
        <v>0.442</v>
      </c>
      <c r="K37" s="86">
        <v>0</v>
      </c>
      <c r="L37" s="86">
        <v>44.1</v>
      </c>
      <c r="M37" s="61">
        <v>0</v>
      </c>
      <c r="N37" s="61">
        <v>0</v>
      </c>
      <c r="O37" s="61">
        <v>7.2240000000000002</v>
      </c>
      <c r="P37" s="61">
        <v>0</v>
      </c>
      <c r="Q37" s="61">
        <v>0</v>
      </c>
      <c r="R37" s="61">
        <v>14.675000000000001</v>
      </c>
      <c r="S37" s="61">
        <v>1.5470000000000006</v>
      </c>
      <c r="T37" s="61">
        <v>2.6009999999999991</v>
      </c>
      <c r="U37" s="61">
        <v>1.8000000000000007</v>
      </c>
      <c r="V37" s="61">
        <v>-1.4480000000000004</v>
      </c>
      <c r="W37" s="61">
        <v>13.695</v>
      </c>
      <c r="X37" s="61">
        <v>6.8740000000000023</v>
      </c>
      <c r="Y37" s="61">
        <v>46.968000000000004</v>
      </c>
      <c r="Z37" s="16"/>
      <c r="AA37" s="61">
        <v>0</v>
      </c>
      <c r="AB37" s="60">
        <v>46.97</v>
      </c>
      <c r="AC37" s="34"/>
      <c r="AD37" s="61">
        <v>44.1</v>
      </c>
      <c r="AE37" s="60">
        <v>2.87</v>
      </c>
      <c r="AG37" s="48"/>
    </row>
    <row r="38" spans="1:33" ht="18" hidden="1" customHeight="1" outlineLevel="1" x14ac:dyDescent="0.2">
      <c r="A38" s="46" t="s">
        <v>300</v>
      </c>
      <c r="B38" s="46" t="s">
        <v>17</v>
      </c>
      <c r="C38" s="47">
        <v>0</v>
      </c>
      <c r="D38" s="47">
        <v>0</v>
      </c>
      <c r="E38" s="31"/>
      <c r="F38" s="217" t="s">
        <v>437</v>
      </c>
      <c r="G38" s="16"/>
      <c r="H38" s="59">
        <v>0</v>
      </c>
      <c r="I38" s="59">
        <v>0</v>
      </c>
      <c r="J38" s="59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59">
        <v>0</v>
      </c>
      <c r="Q38" s="59">
        <v>0</v>
      </c>
      <c r="R38" s="59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16"/>
      <c r="AA38" s="59">
        <v>0</v>
      </c>
      <c r="AB38" s="63">
        <v>0</v>
      </c>
      <c r="AC38" s="31"/>
      <c r="AD38" s="59">
        <v>0</v>
      </c>
      <c r="AE38" s="63">
        <v>0</v>
      </c>
    </row>
    <row r="39" spans="1:33" ht="18" hidden="1" customHeight="1" outlineLevel="1" x14ac:dyDescent="0.2">
      <c r="A39" s="46" t="s">
        <v>301</v>
      </c>
      <c r="B39" s="46" t="s">
        <v>302</v>
      </c>
      <c r="C39" s="47">
        <v>-1.0033444816053512</v>
      </c>
      <c r="D39" s="47">
        <v>-1.0033444816053512</v>
      </c>
      <c r="E39" s="31"/>
      <c r="F39" s="217" t="s">
        <v>438</v>
      </c>
      <c r="G39" s="16"/>
      <c r="H39" s="59">
        <v>0</v>
      </c>
      <c r="I39" s="59">
        <v>0</v>
      </c>
      <c r="J39" s="59">
        <v>0</v>
      </c>
      <c r="K39" s="59">
        <v>0</v>
      </c>
      <c r="L39" s="59">
        <v>0</v>
      </c>
      <c r="M39" s="59">
        <v>0</v>
      </c>
      <c r="N39" s="59">
        <v>0</v>
      </c>
      <c r="O39" s="59">
        <v>0</v>
      </c>
      <c r="P39" s="59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-0.29899999999999999</v>
      </c>
      <c r="X39" s="59">
        <v>0</v>
      </c>
      <c r="Y39" s="59">
        <v>-0.29899999999999999</v>
      </c>
      <c r="Z39" s="16"/>
      <c r="AA39" s="59">
        <v>0</v>
      </c>
      <c r="AB39" s="63">
        <v>-0.3</v>
      </c>
      <c r="AC39" s="31"/>
      <c r="AD39" s="59">
        <v>0</v>
      </c>
      <c r="AE39" s="63">
        <v>-0.3</v>
      </c>
    </row>
    <row r="40" spans="1:33" ht="18" customHeight="1" collapsed="1" x14ac:dyDescent="0.2">
      <c r="A40" s="32"/>
      <c r="B40" s="32"/>
      <c r="C40" s="4">
        <v>-1.0033444816053512</v>
      </c>
      <c r="D40" s="4">
        <v>-1.0033444816053512</v>
      </c>
      <c r="F40" s="213" t="s">
        <v>439</v>
      </c>
      <c r="G40" s="16"/>
      <c r="H40" s="61">
        <v>0</v>
      </c>
      <c r="I40" s="61">
        <v>0</v>
      </c>
      <c r="J40" s="61">
        <v>0</v>
      </c>
      <c r="K40" s="86">
        <v>0</v>
      </c>
      <c r="L40" s="86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-0.29899999999999999</v>
      </c>
      <c r="X40" s="61">
        <v>0</v>
      </c>
      <c r="Y40" s="61">
        <v>-0.29899999999999999</v>
      </c>
      <c r="Z40" s="16"/>
      <c r="AA40" s="61">
        <v>0</v>
      </c>
      <c r="AB40" s="60">
        <v>-0.3</v>
      </c>
      <c r="AC40" s="34"/>
      <c r="AD40" s="61">
        <v>0</v>
      </c>
      <c r="AE40" s="60">
        <v>-0.3</v>
      </c>
      <c r="AG40" s="48"/>
    </row>
    <row r="41" spans="1:33" ht="18" hidden="1" customHeight="1" outlineLevel="1" x14ac:dyDescent="0.2">
      <c r="A41" s="46" t="s">
        <v>309</v>
      </c>
      <c r="B41" s="46" t="s">
        <v>17</v>
      </c>
      <c r="C41" s="47">
        <v>0</v>
      </c>
      <c r="D41" s="47">
        <v>0</v>
      </c>
      <c r="E41" s="31"/>
      <c r="F41" s="217" t="s">
        <v>440</v>
      </c>
      <c r="G41" s="16"/>
      <c r="H41" s="59">
        <v>0</v>
      </c>
      <c r="I41" s="59">
        <v>0</v>
      </c>
      <c r="J41" s="59">
        <v>0</v>
      </c>
      <c r="K41" s="59">
        <v>0</v>
      </c>
      <c r="L41" s="59">
        <v>0</v>
      </c>
      <c r="M41" s="59">
        <v>0</v>
      </c>
      <c r="N41" s="59">
        <v>0</v>
      </c>
      <c r="O41" s="59">
        <v>0</v>
      </c>
      <c r="P41" s="59">
        <v>0</v>
      </c>
      <c r="Q41" s="59">
        <v>0</v>
      </c>
      <c r="R41" s="59">
        <v>0</v>
      </c>
      <c r="S41" s="59">
        <v>0</v>
      </c>
      <c r="T41" s="59">
        <v>0</v>
      </c>
      <c r="U41" s="59">
        <v>0</v>
      </c>
      <c r="V41" s="59">
        <v>0</v>
      </c>
      <c r="W41" s="59">
        <v>0</v>
      </c>
      <c r="X41" s="59">
        <v>0</v>
      </c>
      <c r="Y41" s="59">
        <v>0</v>
      </c>
      <c r="Z41" s="16"/>
      <c r="AA41" s="59">
        <v>0</v>
      </c>
      <c r="AB41" s="63">
        <v>0</v>
      </c>
      <c r="AC41" s="31"/>
      <c r="AD41" s="59">
        <v>0</v>
      </c>
      <c r="AE41" s="63">
        <v>0</v>
      </c>
    </row>
    <row r="42" spans="1:33" ht="18" hidden="1" customHeight="1" outlineLevel="1" x14ac:dyDescent="0.2">
      <c r="A42" s="46" t="s">
        <v>301</v>
      </c>
      <c r="B42" s="46" t="s">
        <v>308</v>
      </c>
      <c r="C42" s="47">
        <v>0</v>
      </c>
      <c r="D42" s="47">
        <v>0</v>
      </c>
      <c r="E42" s="31"/>
      <c r="F42" s="217" t="s">
        <v>441</v>
      </c>
      <c r="G42" s="16"/>
      <c r="H42" s="59">
        <v>0</v>
      </c>
      <c r="I42" s="59">
        <v>0</v>
      </c>
      <c r="J42" s="59">
        <v>0</v>
      </c>
      <c r="K42" s="59">
        <v>0</v>
      </c>
      <c r="L42" s="59">
        <v>0</v>
      </c>
      <c r="M42" s="59">
        <v>0</v>
      </c>
      <c r="N42" s="59">
        <v>0</v>
      </c>
      <c r="O42" s="59">
        <v>0</v>
      </c>
      <c r="P42" s="59">
        <v>0</v>
      </c>
      <c r="Q42" s="59">
        <v>0</v>
      </c>
      <c r="R42" s="59">
        <v>0</v>
      </c>
      <c r="S42" s="59">
        <v>0</v>
      </c>
      <c r="T42" s="59">
        <v>0</v>
      </c>
      <c r="U42" s="59">
        <v>0</v>
      </c>
      <c r="V42" s="59">
        <v>0</v>
      </c>
      <c r="W42" s="59">
        <v>0</v>
      </c>
      <c r="X42" s="59">
        <v>0</v>
      </c>
      <c r="Y42" s="59">
        <v>0</v>
      </c>
      <c r="Z42" s="16"/>
      <c r="AA42" s="59">
        <v>0</v>
      </c>
      <c r="AB42" s="63">
        <v>0</v>
      </c>
      <c r="AC42" s="31"/>
      <c r="AD42" s="59">
        <v>0</v>
      </c>
      <c r="AE42" s="63">
        <v>0</v>
      </c>
    </row>
    <row r="43" spans="1:33" ht="18" customHeight="1" collapsed="1" x14ac:dyDescent="0.2">
      <c r="A43" s="32"/>
      <c r="B43" s="32"/>
      <c r="C43" s="4">
        <v>0</v>
      </c>
      <c r="D43" s="4">
        <v>0</v>
      </c>
      <c r="F43" s="213" t="s">
        <v>442</v>
      </c>
      <c r="G43" s="16"/>
      <c r="H43" s="61">
        <v>0</v>
      </c>
      <c r="I43" s="61">
        <v>0</v>
      </c>
      <c r="J43" s="61">
        <v>0</v>
      </c>
      <c r="K43" s="86">
        <v>0</v>
      </c>
      <c r="L43" s="86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16"/>
      <c r="AA43" s="61">
        <v>0</v>
      </c>
      <c r="AB43" s="60">
        <v>0</v>
      </c>
      <c r="AC43" s="34"/>
      <c r="AD43" s="61">
        <v>0</v>
      </c>
      <c r="AE43" s="60">
        <v>0</v>
      </c>
      <c r="AG43" s="48"/>
    </row>
    <row r="44" spans="1:33" ht="18" hidden="1" customHeight="1" outlineLevel="1" x14ac:dyDescent="0.2">
      <c r="A44" s="212" t="s">
        <v>435</v>
      </c>
      <c r="B44" s="46" t="s">
        <v>17</v>
      </c>
      <c r="C44" s="47">
        <v>0</v>
      </c>
      <c r="D44" s="47">
        <v>0</v>
      </c>
      <c r="E44" s="31"/>
      <c r="F44" s="206" t="s">
        <v>433</v>
      </c>
      <c r="G44" s="16"/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  <c r="N44" s="59">
        <v>0</v>
      </c>
      <c r="O44" s="59">
        <v>0</v>
      </c>
      <c r="P44" s="59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16"/>
      <c r="AA44" s="59">
        <v>0</v>
      </c>
      <c r="AB44" s="63">
        <v>0</v>
      </c>
      <c r="AC44" s="31"/>
      <c r="AD44" s="59">
        <v>0</v>
      </c>
      <c r="AE44" s="63">
        <v>0</v>
      </c>
    </row>
    <row r="45" spans="1:33" ht="18" hidden="1" customHeight="1" outlineLevel="1" x14ac:dyDescent="0.2">
      <c r="A45" s="46" t="s">
        <v>301</v>
      </c>
      <c r="B45" s="212" t="s">
        <v>451</v>
      </c>
      <c r="C45" s="47">
        <v>0</v>
      </c>
      <c r="D45" s="47">
        <v>0</v>
      </c>
      <c r="E45" s="31"/>
      <c r="F45" s="206" t="s">
        <v>434</v>
      </c>
      <c r="G45" s="16"/>
      <c r="H45" s="59">
        <v>0</v>
      </c>
      <c r="I45" s="59">
        <v>0</v>
      </c>
      <c r="J45" s="59">
        <v>0</v>
      </c>
      <c r="K45" s="59">
        <v>0</v>
      </c>
      <c r="L45" s="59">
        <v>0</v>
      </c>
      <c r="M45" s="59">
        <v>0</v>
      </c>
      <c r="N45" s="59">
        <v>0</v>
      </c>
      <c r="O45" s="59">
        <v>0</v>
      </c>
      <c r="P45" s="59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16"/>
      <c r="AA45" s="59">
        <v>0</v>
      </c>
      <c r="AB45" s="63">
        <v>0</v>
      </c>
      <c r="AC45" s="31"/>
      <c r="AD45" s="59">
        <v>0</v>
      </c>
      <c r="AE45" s="63">
        <v>0</v>
      </c>
    </row>
    <row r="46" spans="1:33" ht="18" customHeight="1" collapsed="1" x14ac:dyDescent="0.2">
      <c r="A46" s="32"/>
      <c r="B46" s="32"/>
      <c r="C46" s="4">
        <v>0</v>
      </c>
      <c r="D46" s="4">
        <v>0</v>
      </c>
      <c r="F46" s="51" t="s">
        <v>432</v>
      </c>
      <c r="G46" s="16"/>
      <c r="H46" s="197">
        <v>0</v>
      </c>
      <c r="I46" s="197">
        <v>0</v>
      </c>
      <c r="J46" s="197">
        <v>0</v>
      </c>
      <c r="K46" s="86">
        <v>0</v>
      </c>
      <c r="L46" s="86">
        <v>0</v>
      </c>
      <c r="M46" s="197">
        <v>0</v>
      </c>
      <c r="N46" s="197">
        <v>0</v>
      </c>
      <c r="O46" s="197">
        <v>0</v>
      </c>
      <c r="P46" s="197">
        <v>0</v>
      </c>
      <c r="Q46" s="197">
        <v>0</v>
      </c>
      <c r="R46" s="197">
        <v>0</v>
      </c>
      <c r="S46" s="197">
        <v>0</v>
      </c>
      <c r="T46" s="197">
        <v>0</v>
      </c>
      <c r="U46" s="197">
        <v>0</v>
      </c>
      <c r="V46" s="197">
        <v>0</v>
      </c>
      <c r="W46" s="197">
        <v>0</v>
      </c>
      <c r="X46" s="197">
        <v>0</v>
      </c>
      <c r="Y46" s="197">
        <v>0</v>
      </c>
      <c r="Z46" s="16"/>
      <c r="AA46" s="197">
        <v>0</v>
      </c>
      <c r="AB46" s="60">
        <v>0</v>
      </c>
      <c r="AC46" s="34"/>
      <c r="AD46" s="197">
        <v>0</v>
      </c>
      <c r="AE46" s="60">
        <v>0</v>
      </c>
      <c r="AG46" s="48"/>
    </row>
    <row r="47" spans="1:33" ht="18" hidden="1" customHeight="1" outlineLevel="1" x14ac:dyDescent="0.2">
      <c r="A47" s="46" t="s">
        <v>306</v>
      </c>
      <c r="B47" s="46" t="s">
        <v>17</v>
      </c>
      <c r="C47" s="47">
        <v>0</v>
      </c>
      <c r="D47" s="47">
        <v>0</v>
      </c>
      <c r="E47" s="31"/>
      <c r="F47" s="94" t="s">
        <v>350</v>
      </c>
      <c r="G47" s="16"/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16"/>
      <c r="AA47" s="59">
        <v>0</v>
      </c>
      <c r="AB47" s="63">
        <v>0</v>
      </c>
      <c r="AC47" s="31"/>
      <c r="AD47" s="59">
        <v>0</v>
      </c>
      <c r="AE47" s="63">
        <v>0</v>
      </c>
    </row>
    <row r="48" spans="1:33" ht="18" hidden="1" customHeight="1" outlineLevel="1" x14ac:dyDescent="0.2">
      <c r="A48" s="46" t="s">
        <v>301</v>
      </c>
      <c r="B48" s="46" t="s">
        <v>307</v>
      </c>
      <c r="C48" s="47">
        <v>0</v>
      </c>
      <c r="D48" s="47">
        <v>0</v>
      </c>
      <c r="E48" s="31"/>
      <c r="F48" s="94" t="s">
        <v>351</v>
      </c>
      <c r="G48" s="16"/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16"/>
      <c r="AA48" s="59">
        <v>0</v>
      </c>
      <c r="AB48" s="63">
        <v>0</v>
      </c>
      <c r="AC48" s="31"/>
      <c r="AD48" s="59">
        <v>0</v>
      </c>
      <c r="AE48" s="63">
        <v>0</v>
      </c>
    </row>
    <row r="49" spans="1:33" ht="18" customHeight="1" collapsed="1" x14ac:dyDescent="0.2">
      <c r="A49" s="32"/>
      <c r="B49" s="32"/>
      <c r="C49" s="4">
        <v>0</v>
      </c>
      <c r="D49" s="4">
        <v>0</v>
      </c>
      <c r="F49" s="51" t="s">
        <v>325</v>
      </c>
      <c r="G49" s="16"/>
      <c r="H49" s="61">
        <v>0</v>
      </c>
      <c r="I49" s="61">
        <v>0</v>
      </c>
      <c r="J49" s="61">
        <v>0</v>
      </c>
      <c r="K49" s="86">
        <v>0</v>
      </c>
      <c r="L49" s="86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  <c r="R49" s="61">
        <v>0</v>
      </c>
      <c r="S49" s="61">
        <v>0</v>
      </c>
      <c r="T49" s="61">
        <v>0</v>
      </c>
      <c r="U49" s="61">
        <v>0</v>
      </c>
      <c r="V49" s="61">
        <v>0</v>
      </c>
      <c r="W49" s="61">
        <v>0</v>
      </c>
      <c r="X49" s="61">
        <v>0</v>
      </c>
      <c r="Y49" s="61">
        <v>0</v>
      </c>
      <c r="Z49" s="16"/>
      <c r="AA49" s="61">
        <v>0</v>
      </c>
      <c r="AB49" s="60">
        <v>0</v>
      </c>
      <c r="AC49" s="34"/>
      <c r="AD49" s="61">
        <v>0</v>
      </c>
      <c r="AE49" s="60">
        <v>0</v>
      </c>
      <c r="AG49" s="48"/>
    </row>
    <row r="50" spans="1:33" ht="18" hidden="1" customHeight="1" outlineLevel="1" x14ac:dyDescent="0.2">
      <c r="A50" s="46" t="s">
        <v>305</v>
      </c>
      <c r="B50" s="46" t="s">
        <v>17</v>
      </c>
      <c r="C50" s="47">
        <v>0</v>
      </c>
      <c r="D50" s="47">
        <v>0</v>
      </c>
      <c r="E50" s="31"/>
      <c r="F50" s="94" t="s">
        <v>353</v>
      </c>
      <c r="G50" s="16"/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0</v>
      </c>
      <c r="Z50" s="16"/>
      <c r="AA50" s="59">
        <v>0</v>
      </c>
      <c r="AB50" s="63">
        <v>0</v>
      </c>
      <c r="AC50" s="31"/>
      <c r="AD50" s="59">
        <v>0</v>
      </c>
      <c r="AE50" s="63">
        <v>0</v>
      </c>
    </row>
    <row r="51" spans="1:33" ht="18" hidden="1" customHeight="1" outlineLevel="1" x14ac:dyDescent="0.2">
      <c r="A51" s="46" t="s">
        <v>301</v>
      </c>
      <c r="B51" s="46" t="s">
        <v>352</v>
      </c>
      <c r="C51" s="47">
        <v>0</v>
      </c>
      <c r="D51" s="47">
        <v>0</v>
      </c>
      <c r="E51" s="31"/>
      <c r="F51" s="94" t="s">
        <v>354</v>
      </c>
      <c r="G51" s="16"/>
      <c r="H51" s="59">
        <v>0</v>
      </c>
      <c r="I51" s="59">
        <v>0</v>
      </c>
      <c r="J51" s="59">
        <v>0</v>
      </c>
      <c r="K51" s="59">
        <v>0</v>
      </c>
      <c r="L51" s="59">
        <v>0</v>
      </c>
      <c r="M51" s="59">
        <v>0</v>
      </c>
      <c r="N51" s="59">
        <v>0</v>
      </c>
      <c r="O51" s="59">
        <v>0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59">
        <v>0</v>
      </c>
      <c r="Y51" s="59">
        <v>0</v>
      </c>
      <c r="Z51" s="16"/>
      <c r="AA51" s="59">
        <v>0</v>
      </c>
      <c r="AB51" s="63">
        <v>0</v>
      </c>
      <c r="AC51" s="31"/>
      <c r="AD51" s="59">
        <v>0</v>
      </c>
      <c r="AE51" s="63">
        <v>0</v>
      </c>
    </row>
    <row r="52" spans="1:33" ht="18" hidden="1" customHeight="1" outlineLevel="1" x14ac:dyDescent="0.2">
      <c r="A52" s="46" t="s">
        <v>310</v>
      </c>
      <c r="B52" s="46" t="s">
        <v>334</v>
      </c>
      <c r="C52" s="47">
        <v>0</v>
      </c>
      <c r="D52" s="47">
        <v>0</v>
      </c>
      <c r="E52" s="31"/>
      <c r="F52" s="94" t="s">
        <v>355</v>
      </c>
      <c r="G52" s="16"/>
      <c r="H52" s="59">
        <v>0</v>
      </c>
      <c r="I52" s="59">
        <v>0</v>
      </c>
      <c r="J52" s="59">
        <v>0</v>
      </c>
      <c r="K52" s="59">
        <v>0</v>
      </c>
      <c r="L52" s="59">
        <v>0</v>
      </c>
      <c r="M52" s="59">
        <v>0</v>
      </c>
      <c r="N52" s="59">
        <v>0</v>
      </c>
      <c r="O52" s="59">
        <v>0</v>
      </c>
      <c r="P52" s="59">
        <v>0</v>
      </c>
      <c r="Q52" s="59">
        <v>0</v>
      </c>
      <c r="R52" s="59">
        <v>0</v>
      </c>
      <c r="S52" s="59">
        <v>0</v>
      </c>
      <c r="T52" s="59">
        <v>0</v>
      </c>
      <c r="U52" s="59">
        <v>0</v>
      </c>
      <c r="V52" s="59">
        <v>0</v>
      </c>
      <c r="W52" s="59">
        <v>0</v>
      </c>
      <c r="X52" s="59">
        <v>0</v>
      </c>
      <c r="Y52" s="59">
        <v>0</v>
      </c>
      <c r="Z52" s="16"/>
      <c r="AA52" s="59">
        <v>0</v>
      </c>
      <c r="AB52" s="60">
        <v>0</v>
      </c>
      <c r="AC52" s="31"/>
      <c r="AD52" s="59">
        <v>0</v>
      </c>
      <c r="AE52" s="60">
        <v>0</v>
      </c>
    </row>
    <row r="53" spans="1:33" ht="18" customHeight="1" collapsed="1" x14ac:dyDescent="0.2">
      <c r="A53" s="32"/>
      <c r="B53" s="32"/>
      <c r="C53" s="4">
        <v>0</v>
      </c>
      <c r="D53" s="4">
        <v>0</v>
      </c>
      <c r="F53" s="51" t="s">
        <v>363</v>
      </c>
      <c r="G53" s="16"/>
      <c r="H53" s="61">
        <v>0</v>
      </c>
      <c r="I53" s="61">
        <v>0</v>
      </c>
      <c r="J53" s="61">
        <v>0</v>
      </c>
      <c r="K53" s="86">
        <v>0</v>
      </c>
      <c r="L53" s="86">
        <v>0</v>
      </c>
      <c r="M53" s="61">
        <v>0</v>
      </c>
      <c r="N53" s="61">
        <v>0</v>
      </c>
      <c r="O53" s="61">
        <v>0</v>
      </c>
      <c r="P53" s="61">
        <v>0</v>
      </c>
      <c r="Q53" s="61">
        <v>0</v>
      </c>
      <c r="R53" s="61">
        <v>0</v>
      </c>
      <c r="S53" s="61">
        <v>0</v>
      </c>
      <c r="T53" s="61">
        <v>0</v>
      </c>
      <c r="U53" s="61">
        <v>0</v>
      </c>
      <c r="V53" s="61">
        <v>0</v>
      </c>
      <c r="W53" s="61">
        <v>0</v>
      </c>
      <c r="X53" s="61">
        <v>0</v>
      </c>
      <c r="Y53" s="61">
        <v>0</v>
      </c>
      <c r="Z53" s="16"/>
      <c r="AA53" s="61">
        <v>0</v>
      </c>
      <c r="AB53" s="60">
        <v>0</v>
      </c>
      <c r="AC53" s="34"/>
      <c r="AD53" s="61">
        <v>0</v>
      </c>
      <c r="AE53" s="60">
        <v>0</v>
      </c>
      <c r="AG53" s="48"/>
    </row>
    <row r="54" spans="1:33" ht="18" customHeight="1" x14ac:dyDescent="0.2">
      <c r="A54" s="30" t="s">
        <v>311</v>
      </c>
      <c r="B54" s="30" t="s">
        <v>17</v>
      </c>
      <c r="C54" s="4">
        <v>0</v>
      </c>
      <c r="D54" s="4">
        <v>0</v>
      </c>
      <c r="F54" s="51" t="s">
        <v>374</v>
      </c>
      <c r="G54" s="16"/>
      <c r="H54" s="61">
        <v>0</v>
      </c>
      <c r="I54" s="61">
        <v>0</v>
      </c>
      <c r="J54" s="61">
        <v>0</v>
      </c>
      <c r="K54" s="86">
        <v>0</v>
      </c>
      <c r="L54" s="86">
        <v>0</v>
      </c>
      <c r="M54" s="61">
        <v>0</v>
      </c>
      <c r="N54" s="61">
        <v>0</v>
      </c>
      <c r="O54" s="61">
        <v>0</v>
      </c>
      <c r="P54" s="61">
        <v>0</v>
      </c>
      <c r="Q54" s="61">
        <v>0</v>
      </c>
      <c r="R54" s="61">
        <v>0</v>
      </c>
      <c r="S54" s="61">
        <v>0</v>
      </c>
      <c r="T54" s="61">
        <v>0</v>
      </c>
      <c r="U54" s="61">
        <v>0</v>
      </c>
      <c r="V54" s="61">
        <v>0</v>
      </c>
      <c r="W54" s="61">
        <v>0</v>
      </c>
      <c r="X54" s="61">
        <v>0</v>
      </c>
      <c r="Y54" s="61">
        <v>0</v>
      </c>
      <c r="Z54" s="16"/>
      <c r="AA54" s="61">
        <v>0</v>
      </c>
      <c r="AB54" s="60">
        <v>0</v>
      </c>
      <c r="AD54" s="61">
        <v>0</v>
      </c>
      <c r="AE54" s="60">
        <v>0</v>
      </c>
    </row>
    <row r="55" spans="1:33" ht="18" customHeight="1" x14ac:dyDescent="0.2">
      <c r="A55" s="32"/>
      <c r="B55" s="32"/>
      <c r="C55" s="5">
        <v>1.0000214275000536</v>
      </c>
      <c r="D55" s="5">
        <v>5.8276643990929702E-2</v>
      </c>
      <c r="F55" s="118" t="s">
        <v>375</v>
      </c>
      <c r="G55" s="16"/>
      <c r="H55" s="120">
        <v>0</v>
      </c>
      <c r="I55" s="120">
        <v>0.442</v>
      </c>
      <c r="J55" s="120">
        <v>0.442</v>
      </c>
      <c r="K55" s="121">
        <v>0</v>
      </c>
      <c r="L55" s="121">
        <v>44.1</v>
      </c>
      <c r="M55" s="120">
        <v>0</v>
      </c>
      <c r="N55" s="120">
        <v>0</v>
      </c>
      <c r="O55" s="120">
        <v>7.2240000000000002</v>
      </c>
      <c r="P55" s="120">
        <v>0</v>
      </c>
      <c r="Q55" s="120">
        <v>0</v>
      </c>
      <c r="R55" s="120">
        <v>14.675000000000001</v>
      </c>
      <c r="S55" s="120">
        <v>1.5470000000000006</v>
      </c>
      <c r="T55" s="120">
        <v>2.6009999999999991</v>
      </c>
      <c r="U55" s="120">
        <v>1.8000000000000007</v>
      </c>
      <c r="V55" s="120">
        <v>-1.4480000000000004</v>
      </c>
      <c r="W55" s="120">
        <v>13.396000000000001</v>
      </c>
      <c r="X55" s="120">
        <v>6.8740000000000023</v>
      </c>
      <c r="Y55" s="120">
        <v>46.669000000000004</v>
      </c>
      <c r="Z55" s="16"/>
      <c r="AA55" s="120">
        <v>0</v>
      </c>
      <c r="AB55" s="60">
        <v>46.67</v>
      </c>
      <c r="AC55" s="253"/>
      <c r="AD55" s="120">
        <v>44.1</v>
      </c>
      <c r="AE55" s="60">
        <v>2.57</v>
      </c>
    </row>
    <row r="56" spans="1:33" ht="8.25" customHeight="1" x14ac:dyDescent="0.2">
      <c r="A56" s="116"/>
      <c r="F56" s="8"/>
      <c r="G56" s="16"/>
      <c r="K56" s="8"/>
      <c r="L56" s="8"/>
      <c r="Z56" s="16"/>
      <c r="AB56" s="8"/>
      <c r="AE56" s="8"/>
    </row>
    <row r="57" spans="1:33" ht="18" customHeight="1" x14ac:dyDescent="0.2">
      <c r="A57" s="30" t="s">
        <v>313</v>
      </c>
      <c r="B57" s="30" t="s">
        <v>17</v>
      </c>
      <c r="C57" s="4">
        <v>0.99790648988136765</v>
      </c>
      <c r="D57" s="4">
        <v>0.99790648988136765</v>
      </c>
      <c r="F57" s="51" t="s">
        <v>312</v>
      </c>
      <c r="G57" s="16"/>
      <c r="H57" s="61">
        <v>2.4129999999999998</v>
      </c>
      <c r="I57" s="61">
        <v>0.41499999999999998</v>
      </c>
      <c r="J57" s="61">
        <v>0.41499999999999998</v>
      </c>
      <c r="K57" s="86">
        <v>0</v>
      </c>
      <c r="L57" s="86">
        <v>0</v>
      </c>
      <c r="M57" s="61">
        <v>0</v>
      </c>
      <c r="N57" s="61">
        <v>0</v>
      </c>
      <c r="O57" s="61">
        <v>0</v>
      </c>
      <c r="P57" s="61">
        <v>1.4330000000000001</v>
      </c>
      <c r="Q57" s="61">
        <v>0</v>
      </c>
      <c r="R57" s="61">
        <v>0</v>
      </c>
      <c r="S57" s="61">
        <v>0</v>
      </c>
      <c r="T57" s="61">
        <v>0</v>
      </c>
      <c r="U57" s="61">
        <v>0</v>
      </c>
      <c r="V57" s="61">
        <v>0</v>
      </c>
      <c r="W57" s="61">
        <v>0</v>
      </c>
      <c r="X57" s="61">
        <v>0</v>
      </c>
      <c r="Y57" s="61">
        <v>1.4330000000000001</v>
      </c>
      <c r="Z57" s="16"/>
      <c r="AA57" s="61">
        <v>0</v>
      </c>
      <c r="AB57" s="60">
        <v>1.43</v>
      </c>
      <c r="AD57" s="61">
        <v>0</v>
      </c>
      <c r="AE57" s="60">
        <v>1.43</v>
      </c>
    </row>
    <row r="58" spans="1:33" ht="8.25" customHeight="1" x14ac:dyDescent="0.2">
      <c r="A58" s="116"/>
      <c r="F58" s="8"/>
      <c r="G58" s="16"/>
      <c r="K58" s="8"/>
      <c r="L58" s="8"/>
      <c r="Z58" s="16"/>
      <c r="AB58" s="8"/>
      <c r="AE58" s="8"/>
    </row>
    <row r="59" spans="1:33" s="7" customFormat="1" ht="18" customHeight="1" x14ac:dyDescent="0.2">
      <c r="A59" s="30" t="s">
        <v>299</v>
      </c>
      <c r="B59" s="30" t="s">
        <v>17</v>
      </c>
      <c r="C59" s="4">
        <v>-0.23700696055684456</v>
      </c>
      <c r="D59" s="4">
        <v>0.16572137539879475</v>
      </c>
      <c r="E59" s="8"/>
      <c r="F59" s="45" t="s">
        <v>376</v>
      </c>
      <c r="G59" s="16"/>
      <c r="H59" s="62">
        <v>747.15499999999997</v>
      </c>
      <c r="I59" s="62">
        <v>415.96100000000001</v>
      </c>
      <c r="J59" s="62">
        <v>415.96100000000001</v>
      </c>
      <c r="K59" s="108">
        <v>431</v>
      </c>
      <c r="L59" s="108">
        <v>282.10000000000002</v>
      </c>
      <c r="M59" s="62">
        <v>27.937000000000001</v>
      </c>
      <c r="N59" s="62">
        <v>22.568999999999999</v>
      </c>
      <c r="O59" s="62">
        <v>36.622</v>
      </c>
      <c r="P59" s="62">
        <v>23.47</v>
      </c>
      <c r="Q59" s="62">
        <v>7.6890000000000072</v>
      </c>
      <c r="R59" s="62">
        <v>48.22399999999999</v>
      </c>
      <c r="S59" s="62">
        <v>18.277999999999992</v>
      </c>
      <c r="T59" s="62">
        <v>22.78</v>
      </c>
      <c r="U59" s="62">
        <v>14.79000000000002</v>
      </c>
      <c r="V59" s="62">
        <v>2.6089999999999804</v>
      </c>
      <c r="W59" s="62">
        <v>43.205000000000013</v>
      </c>
      <c r="X59" s="62">
        <v>60.680999999999983</v>
      </c>
      <c r="Y59" s="62">
        <v>328.85399999999998</v>
      </c>
      <c r="Z59" s="16"/>
      <c r="AA59" s="62">
        <v>431</v>
      </c>
      <c r="AB59" s="60">
        <v>-102.15</v>
      </c>
      <c r="AD59" s="62">
        <v>282.10000000000002</v>
      </c>
      <c r="AE59" s="60">
        <v>46.75</v>
      </c>
    </row>
    <row r="60" spans="1:33" ht="8.25" customHeight="1" x14ac:dyDescent="0.2">
      <c r="A60" s="116"/>
      <c r="F60" s="8"/>
      <c r="G60" s="16"/>
      <c r="K60" s="8"/>
      <c r="L60" s="8"/>
      <c r="Z60" s="16"/>
      <c r="AB60" s="8"/>
      <c r="AE60" s="8"/>
    </row>
    <row r="61" spans="1:33" ht="18" customHeight="1" x14ac:dyDescent="0.2">
      <c r="A61" s="35"/>
      <c r="B61" s="32"/>
      <c r="C61" s="4">
        <v>5.4607788308357691E-2</v>
      </c>
      <c r="D61" s="4">
        <v>8.4867824032721396E-3</v>
      </c>
      <c r="F61" s="95" t="s">
        <v>234</v>
      </c>
      <c r="G61" s="16"/>
      <c r="H61" s="64">
        <v>6759.9939999999997</v>
      </c>
      <c r="I61" s="64">
        <v>6913.7210000000005</v>
      </c>
      <c r="J61" s="64">
        <v>6913.7210000000005</v>
      </c>
      <c r="K61" s="89">
        <v>5904.2860000000001</v>
      </c>
      <c r="L61" s="89">
        <v>6174.3070000000007</v>
      </c>
      <c r="M61" s="64">
        <v>548.36800000000005</v>
      </c>
      <c r="N61" s="64">
        <v>476.12099999999992</v>
      </c>
      <c r="O61" s="64">
        <v>496.12299999999999</v>
      </c>
      <c r="P61" s="64">
        <v>514.44900000000007</v>
      </c>
      <c r="Q61" s="64">
        <v>554.7890000000001</v>
      </c>
      <c r="R61" s="64">
        <v>550.13399999999979</v>
      </c>
      <c r="S61" s="64">
        <v>484.68300000000022</v>
      </c>
      <c r="T61" s="64">
        <v>508.31399999999962</v>
      </c>
      <c r="U61" s="64">
        <v>509.48799999999989</v>
      </c>
      <c r="V61" s="64">
        <v>500.32400000000013</v>
      </c>
      <c r="W61" s="64">
        <v>534.09699999999987</v>
      </c>
      <c r="X61" s="64">
        <v>549.82000000000016</v>
      </c>
      <c r="Y61" s="64">
        <v>6226.71</v>
      </c>
      <c r="Z61" s="16"/>
      <c r="AA61" s="64">
        <v>5904.2860000000001</v>
      </c>
      <c r="AB61" s="60">
        <v>322.42</v>
      </c>
      <c r="AD61" s="64">
        <v>6174.3070000000007</v>
      </c>
      <c r="AE61" s="60">
        <v>52.4</v>
      </c>
    </row>
    <row r="62" spans="1:33" ht="6.95" customHeight="1" x14ac:dyDescent="0.2">
      <c r="C62" s="4"/>
      <c r="D62" s="4"/>
      <c r="F62" s="96"/>
      <c r="G62" s="16"/>
      <c r="H62" s="16"/>
      <c r="I62" s="16"/>
      <c r="J62" s="16"/>
      <c r="K62" s="85"/>
      <c r="L62" s="85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20"/>
      <c r="AD62" s="16"/>
      <c r="AE62" s="20"/>
    </row>
    <row r="63" spans="1:33" s="36" customFormat="1" ht="18" customHeight="1" x14ac:dyDescent="0.2">
      <c r="A63" s="30" t="s">
        <v>21</v>
      </c>
      <c r="B63" s="30" t="s">
        <v>17</v>
      </c>
      <c r="C63" s="4">
        <v>-2.3472</v>
      </c>
      <c r="D63" s="4">
        <v>0.29833333333333334</v>
      </c>
      <c r="E63" s="8"/>
      <c r="F63" s="104" t="s">
        <v>24</v>
      </c>
      <c r="G63" s="16"/>
      <c r="H63" s="65">
        <v>-80.628</v>
      </c>
      <c r="I63" s="65">
        <v>-51.805</v>
      </c>
      <c r="J63" s="65">
        <v>-51.805</v>
      </c>
      <c r="K63" s="65">
        <v>25</v>
      </c>
      <c r="L63" s="65">
        <v>-48</v>
      </c>
      <c r="M63" s="65">
        <v>-11.305999999999999</v>
      </c>
      <c r="N63" s="65">
        <v>-6.6270000000000007</v>
      </c>
      <c r="O63" s="65">
        <v>-2.6900000000000013</v>
      </c>
      <c r="P63" s="65">
        <v>8.0999999999999517E-2</v>
      </c>
      <c r="Q63" s="65">
        <v>-3.5030000000000001</v>
      </c>
      <c r="R63" s="65">
        <v>-3.9529999999999994</v>
      </c>
      <c r="S63" s="65">
        <v>-7.0609999999999964</v>
      </c>
      <c r="T63" s="65">
        <v>-28.422000000000004</v>
      </c>
      <c r="U63" s="65">
        <v>-1.3350000000000009</v>
      </c>
      <c r="V63" s="65">
        <v>15.157000000000004</v>
      </c>
      <c r="W63" s="65">
        <v>5.5459999999999994</v>
      </c>
      <c r="X63" s="65">
        <v>10.435000000000002</v>
      </c>
      <c r="Y63" s="65">
        <v>-33.677999999999997</v>
      </c>
      <c r="AA63" s="65">
        <v>25</v>
      </c>
      <c r="AB63" s="60">
        <v>-58.68</v>
      </c>
      <c r="AD63" s="65">
        <v>-48</v>
      </c>
      <c r="AE63" s="60">
        <v>14.32</v>
      </c>
    </row>
    <row r="64" spans="1:33" s="36" customFormat="1" ht="18" hidden="1" customHeight="1" outlineLevel="1" x14ac:dyDescent="0.2">
      <c r="A64" s="30" t="s">
        <v>119</v>
      </c>
      <c r="B64" s="30" t="s">
        <v>17</v>
      </c>
      <c r="C64" s="4">
        <v>-2.503333333333333</v>
      </c>
      <c r="D64" s="4">
        <v>2.7037037037037037E-2</v>
      </c>
      <c r="E64" s="8"/>
      <c r="F64" s="38" t="s">
        <v>121</v>
      </c>
      <c r="G64" s="16"/>
      <c r="H64" s="66">
        <v>-16.283999999999999</v>
      </c>
      <c r="I64" s="66">
        <v>-17.385000000000002</v>
      </c>
      <c r="J64" s="66">
        <v>-17.385000000000002</v>
      </c>
      <c r="K64" s="66">
        <v>-15</v>
      </c>
      <c r="L64" s="66">
        <v>-54</v>
      </c>
      <c r="M64" s="66">
        <v>0.155</v>
      </c>
      <c r="N64" s="66">
        <v>-0.155</v>
      </c>
      <c r="O64" s="66">
        <v>-51.7</v>
      </c>
      <c r="P64" s="66">
        <v>0</v>
      </c>
      <c r="Q64" s="66">
        <v>-1.5</v>
      </c>
      <c r="R64" s="66">
        <v>-4.9499999999999957</v>
      </c>
      <c r="S64" s="66">
        <v>0</v>
      </c>
      <c r="T64" s="66">
        <v>1.6049999999999969</v>
      </c>
      <c r="U64" s="66">
        <v>3.8449999999999989</v>
      </c>
      <c r="V64" s="66">
        <v>0</v>
      </c>
      <c r="W64" s="66">
        <v>0.15500000000000114</v>
      </c>
      <c r="X64" s="66">
        <v>0</v>
      </c>
      <c r="Y64" s="66">
        <v>-52.545000000000002</v>
      </c>
      <c r="Z64" s="34"/>
      <c r="AA64" s="66">
        <v>-15</v>
      </c>
      <c r="AB64" s="60">
        <v>-37.549999999999997</v>
      </c>
      <c r="AC64" s="34"/>
      <c r="AD64" s="66">
        <v>-54</v>
      </c>
      <c r="AE64" s="60">
        <v>1.46</v>
      </c>
    </row>
    <row r="65" spans="1:31" s="36" customFormat="1" ht="18" hidden="1" customHeight="1" outlineLevel="1" x14ac:dyDescent="0.2">
      <c r="A65" s="30" t="s">
        <v>120</v>
      </c>
      <c r="B65" s="30" t="s">
        <v>17</v>
      </c>
      <c r="C65" s="4">
        <v>0.99992788981563829</v>
      </c>
      <c r="D65" s="4">
        <v>1.2033694344163659E-3</v>
      </c>
      <c r="E65" s="8"/>
      <c r="F65" s="38" t="s">
        <v>122</v>
      </c>
      <c r="G65" s="16"/>
      <c r="H65" s="66">
        <v>11.121</v>
      </c>
      <c r="I65" s="66">
        <v>-15.664999999999999</v>
      </c>
      <c r="J65" s="66">
        <v>-15.664999999999999</v>
      </c>
      <c r="K65" s="66">
        <v>0</v>
      </c>
      <c r="L65" s="66">
        <v>41.55</v>
      </c>
      <c r="M65" s="66">
        <v>-0.57099999999999995</v>
      </c>
      <c r="N65" s="66">
        <v>6.351</v>
      </c>
      <c r="O65" s="66">
        <v>4.7570000000000006</v>
      </c>
      <c r="P65" s="66">
        <v>22.518999999999998</v>
      </c>
      <c r="Q65" s="66">
        <v>0</v>
      </c>
      <c r="R65" s="66">
        <v>19.392000000000003</v>
      </c>
      <c r="S65" s="66">
        <v>0.11299999999999955</v>
      </c>
      <c r="T65" s="66">
        <v>-0.76800000000000068</v>
      </c>
      <c r="U65" s="66">
        <v>0</v>
      </c>
      <c r="V65" s="66">
        <v>-10.189999999999998</v>
      </c>
      <c r="W65" s="66">
        <v>0</v>
      </c>
      <c r="X65" s="66">
        <v>0</v>
      </c>
      <c r="Y65" s="66">
        <v>41.603000000000002</v>
      </c>
      <c r="Z65" s="34"/>
      <c r="AA65" s="66">
        <v>0</v>
      </c>
      <c r="AB65" s="60">
        <v>41.6</v>
      </c>
      <c r="AC65" s="34"/>
      <c r="AD65" s="66">
        <v>41.55</v>
      </c>
      <c r="AE65" s="60">
        <v>0.05</v>
      </c>
    </row>
    <row r="66" spans="1:31" s="36" customFormat="1" ht="18" customHeight="1" collapsed="1" x14ac:dyDescent="0.2">
      <c r="A66" s="35"/>
      <c r="B66" s="35"/>
      <c r="C66" s="4">
        <v>0.27066666666666667</v>
      </c>
      <c r="D66" s="4">
        <v>0.12128514056224897</v>
      </c>
      <c r="E66" s="8"/>
      <c r="F66" s="104" t="s">
        <v>0</v>
      </c>
      <c r="G66" s="16"/>
      <c r="H66" s="65">
        <v>-5.1629999999999985</v>
      </c>
      <c r="I66" s="65">
        <v>-33.049999999999997</v>
      </c>
      <c r="J66" s="65">
        <v>-33.049999999999997</v>
      </c>
      <c r="K66" s="65">
        <v>-15</v>
      </c>
      <c r="L66" s="65">
        <v>-12.450000000000003</v>
      </c>
      <c r="M66" s="65">
        <v>-0.41599999999999993</v>
      </c>
      <c r="N66" s="65">
        <v>6.1959999999999997</v>
      </c>
      <c r="O66" s="65">
        <v>-46.943000000000005</v>
      </c>
      <c r="P66" s="65">
        <v>22.518999999999998</v>
      </c>
      <c r="Q66" s="65">
        <v>-1.5</v>
      </c>
      <c r="R66" s="65">
        <v>14.442000000000007</v>
      </c>
      <c r="S66" s="65">
        <v>0.11299999999999955</v>
      </c>
      <c r="T66" s="65">
        <v>0.83699999999999619</v>
      </c>
      <c r="U66" s="65">
        <v>3.8449999999999989</v>
      </c>
      <c r="V66" s="65">
        <v>-10.189999999999998</v>
      </c>
      <c r="W66" s="65">
        <v>0.15500000000000114</v>
      </c>
      <c r="X66" s="65">
        <v>0</v>
      </c>
      <c r="Y66" s="65">
        <v>-10.942</v>
      </c>
      <c r="AA66" s="65">
        <v>-15</v>
      </c>
      <c r="AB66" s="60">
        <v>4.0599999999999996</v>
      </c>
      <c r="AD66" s="65">
        <v>-12.450000000000003</v>
      </c>
      <c r="AE66" s="60">
        <v>1.51</v>
      </c>
    </row>
    <row r="67" spans="1:31" s="36" customFormat="1" ht="18" hidden="1" customHeight="1" outlineLevel="1" x14ac:dyDescent="0.2">
      <c r="A67" s="30" t="s">
        <v>131</v>
      </c>
      <c r="B67" s="30" t="s">
        <v>17</v>
      </c>
      <c r="C67" s="4">
        <v>0</v>
      </c>
      <c r="D67" s="4">
        <v>0</v>
      </c>
      <c r="E67" s="8"/>
      <c r="F67" s="38" t="s">
        <v>132</v>
      </c>
      <c r="G67" s="16"/>
      <c r="H67" s="66">
        <v>0</v>
      </c>
      <c r="I67" s="66">
        <v>0</v>
      </c>
      <c r="J67" s="66">
        <v>0</v>
      </c>
      <c r="K67" s="86">
        <v>0</v>
      </c>
      <c r="L67" s="8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34"/>
      <c r="AA67" s="66">
        <v>0</v>
      </c>
      <c r="AB67" s="60">
        <v>0</v>
      </c>
      <c r="AC67" s="34"/>
      <c r="AD67" s="66">
        <v>0</v>
      </c>
      <c r="AE67" s="60">
        <v>0</v>
      </c>
    </row>
    <row r="68" spans="1:31" s="36" customFormat="1" ht="18" hidden="1" customHeight="1" outlineLevel="1" x14ac:dyDescent="0.2">
      <c r="A68" s="30" t="s">
        <v>134</v>
      </c>
      <c r="B68" s="30" t="s">
        <v>17</v>
      </c>
      <c r="C68" s="4">
        <v>0</v>
      </c>
      <c r="D68" s="4">
        <v>0</v>
      </c>
      <c r="E68" s="8"/>
      <c r="F68" s="38" t="s">
        <v>133</v>
      </c>
      <c r="G68" s="16"/>
      <c r="H68" s="66">
        <v>0</v>
      </c>
      <c r="I68" s="66">
        <v>0</v>
      </c>
      <c r="J68" s="66">
        <v>0</v>
      </c>
      <c r="K68" s="86">
        <v>0</v>
      </c>
      <c r="L68" s="8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34"/>
      <c r="AA68" s="66">
        <v>0</v>
      </c>
      <c r="AB68" s="60">
        <v>0</v>
      </c>
      <c r="AC68" s="34"/>
      <c r="AD68" s="66">
        <v>0</v>
      </c>
      <c r="AE68" s="60">
        <v>0</v>
      </c>
    </row>
    <row r="69" spans="1:31" s="36" customFormat="1" ht="18" hidden="1" customHeight="1" outlineLevel="1" x14ac:dyDescent="0.2">
      <c r="A69" s="30" t="s">
        <v>135</v>
      </c>
      <c r="B69" s="30" t="s">
        <v>17</v>
      </c>
      <c r="C69" s="4">
        <v>0</v>
      </c>
      <c r="D69" s="4">
        <v>0</v>
      </c>
      <c r="E69" s="8"/>
      <c r="F69" s="38" t="s">
        <v>136</v>
      </c>
      <c r="G69" s="16"/>
      <c r="H69" s="66">
        <v>0</v>
      </c>
      <c r="I69" s="66">
        <v>13</v>
      </c>
      <c r="J69" s="66">
        <v>13</v>
      </c>
      <c r="K69" s="86">
        <v>0</v>
      </c>
      <c r="L69" s="8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34"/>
      <c r="AA69" s="66">
        <v>0</v>
      </c>
      <c r="AB69" s="60">
        <v>0</v>
      </c>
      <c r="AC69" s="34"/>
      <c r="AD69" s="66">
        <v>0</v>
      </c>
      <c r="AE69" s="60">
        <v>0</v>
      </c>
    </row>
    <row r="70" spans="1:31" s="36" customFormat="1" ht="18" hidden="1" customHeight="1" outlineLevel="1" x14ac:dyDescent="0.2">
      <c r="A70" s="30" t="s">
        <v>137</v>
      </c>
      <c r="B70" s="30" t="s">
        <v>17</v>
      </c>
      <c r="C70" s="4">
        <v>1.0034602076124568</v>
      </c>
      <c r="D70" s="4">
        <v>1.0034602076124568</v>
      </c>
      <c r="E70" s="8"/>
      <c r="F70" s="38" t="s">
        <v>138</v>
      </c>
      <c r="G70" s="16"/>
      <c r="H70" s="66">
        <v>0</v>
      </c>
      <c r="I70" s="66">
        <v>0</v>
      </c>
      <c r="J70" s="66">
        <v>0</v>
      </c>
      <c r="K70" s="86">
        <v>0</v>
      </c>
      <c r="L70" s="86">
        <v>0</v>
      </c>
      <c r="M70" s="66">
        <v>0</v>
      </c>
      <c r="N70" s="66">
        <v>0</v>
      </c>
      <c r="O70" s="66">
        <v>8.3000000000000004E-2</v>
      </c>
      <c r="P70" s="66">
        <v>0</v>
      </c>
      <c r="Q70" s="66">
        <v>0</v>
      </c>
      <c r="R70" s="66">
        <v>0.16499999999999998</v>
      </c>
      <c r="S70" s="66">
        <v>0</v>
      </c>
      <c r="T70" s="66">
        <v>0</v>
      </c>
      <c r="U70" s="66">
        <v>0</v>
      </c>
      <c r="V70" s="66">
        <v>8.2000000000000017E-2</v>
      </c>
      <c r="W70" s="66">
        <v>0.24799999999999994</v>
      </c>
      <c r="X70" s="66">
        <v>0</v>
      </c>
      <c r="Y70" s="66">
        <v>0.57799999999999996</v>
      </c>
      <c r="Z70" s="34"/>
      <c r="AA70" s="66">
        <v>0</v>
      </c>
      <c r="AB70" s="60">
        <v>0.57999999999999996</v>
      </c>
      <c r="AC70" s="34"/>
      <c r="AD70" s="66">
        <v>0</v>
      </c>
      <c r="AE70" s="60">
        <v>0.57999999999999996</v>
      </c>
    </row>
    <row r="71" spans="1:31" s="37" customFormat="1" ht="18" customHeight="1" collapsed="1" x14ac:dyDescent="0.2">
      <c r="A71" s="35"/>
      <c r="B71" s="35"/>
      <c r="C71" s="4">
        <v>1.0034602076124568</v>
      </c>
      <c r="D71" s="4">
        <v>1.0034602076124568</v>
      </c>
      <c r="E71" s="8"/>
      <c r="F71" s="105" t="s">
        <v>274</v>
      </c>
      <c r="G71" s="16"/>
      <c r="H71" s="67">
        <v>0</v>
      </c>
      <c r="I71" s="67">
        <v>13</v>
      </c>
      <c r="J71" s="67">
        <v>13</v>
      </c>
      <c r="K71" s="67">
        <v>0</v>
      </c>
      <c r="L71" s="67">
        <v>0</v>
      </c>
      <c r="M71" s="67">
        <v>0</v>
      </c>
      <c r="N71" s="67">
        <v>0</v>
      </c>
      <c r="O71" s="67">
        <v>8.3000000000000004E-2</v>
      </c>
      <c r="P71" s="67">
        <v>0</v>
      </c>
      <c r="Q71" s="67">
        <v>0</v>
      </c>
      <c r="R71" s="67">
        <v>0.16499999999999998</v>
      </c>
      <c r="S71" s="67">
        <v>0</v>
      </c>
      <c r="T71" s="67">
        <v>0</v>
      </c>
      <c r="U71" s="67">
        <v>0</v>
      </c>
      <c r="V71" s="67">
        <v>8.2000000000000017E-2</v>
      </c>
      <c r="W71" s="67">
        <v>0.24799999999999994</v>
      </c>
      <c r="X71" s="67">
        <v>0</v>
      </c>
      <c r="Y71" s="67">
        <v>0.57799999999999996</v>
      </c>
      <c r="AA71" s="67">
        <v>0</v>
      </c>
      <c r="AB71" s="60">
        <v>0.57999999999999996</v>
      </c>
      <c r="AD71" s="67">
        <v>0</v>
      </c>
      <c r="AE71" s="60">
        <v>0.57999999999999996</v>
      </c>
    </row>
    <row r="72" spans="1:31" ht="6.95" customHeight="1" x14ac:dyDescent="0.2">
      <c r="C72" s="4"/>
      <c r="D72" s="4"/>
      <c r="F72" s="96"/>
      <c r="G72" s="16"/>
      <c r="H72" s="16"/>
      <c r="I72" s="16"/>
      <c r="J72" s="16"/>
      <c r="K72" s="85"/>
      <c r="L72" s="8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AA72" s="16"/>
      <c r="AB72" s="20"/>
      <c r="AD72" s="16"/>
      <c r="AE72" s="20"/>
    </row>
    <row r="73" spans="1:31" s="7" customFormat="1" ht="18" customHeight="1" x14ac:dyDescent="0.2">
      <c r="A73" s="276" t="s">
        <v>299</v>
      </c>
      <c r="B73" s="276" t="s">
        <v>17</v>
      </c>
      <c r="C73" s="252">
        <v>4.5378258677378804E-2</v>
      </c>
      <c r="D73" s="252">
        <v>1.1254761110703112E-2</v>
      </c>
      <c r="E73" s="253"/>
      <c r="F73" s="284" t="s">
        <v>448</v>
      </c>
      <c r="G73" s="16"/>
      <c r="H73" s="62">
        <v>6674.2030000000004</v>
      </c>
      <c r="I73" s="62">
        <v>6841.866</v>
      </c>
      <c r="J73" s="62">
        <v>6841.866</v>
      </c>
      <c r="K73" s="108">
        <v>5914.2860000000001</v>
      </c>
      <c r="L73" s="108">
        <v>6113.8570000000009</v>
      </c>
      <c r="M73" s="62">
        <v>536.64599999999996</v>
      </c>
      <c r="N73" s="62">
        <v>475.68999999999994</v>
      </c>
      <c r="O73" s="62">
        <v>446.57300000000004</v>
      </c>
      <c r="P73" s="62">
        <v>537.04900000000009</v>
      </c>
      <c r="Q73" s="62">
        <v>549.78600000000006</v>
      </c>
      <c r="R73" s="62">
        <v>560.78799999999978</v>
      </c>
      <c r="S73" s="62">
        <v>477.73500000000024</v>
      </c>
      <c r="T73" s="62">
        <v>480.72899999999959</v>
      </c>
      <c r="U73" s="62">
        <v>511.99799999999993</v>
      </c>
      <c r="V73" s="62">
        <v>505.3730000000001</v>
      </c>
      <c r="W73" s="62">
        <v>540.04599999999994</v>
      </c>
      <c r="X73" s="62">
        <v>560.25500000000011</v>
      </c>
      <c r="Y73" s="62">
        <v>6182.6680000000006</v>
      </c>
      <c r="Z73" s="16"/>
      <c r="AA73" s="62">
        <v>5914.2860000000001</v>
      </c>
      <c r="AB73" s="256">
        <v>268.38</v>
      </c>
      <c r="AD73" s="62">
        <v>6113.8570000000009</v>
      </c>
      <c r="AE73" s="256">
        <v>68.81</v>
      </c>
    </row>
    <row r="74" spans="1:31" s="253" customFormat="1" ht="8.25" customHeight="1" x14ac:dyDescent="0.2">
      <c r="A74" s="116"/>
      <c r="G74" s="16"/>
      <c r="Z74" s="16"/>
    </row>
    <row r="75" spans="1:31" ht="18" customHeight="1" x14ac:dyDescent="0.2">
      <c r="A75" s="30" t="s">
        <v>206</v>
      </c>
      <c r="B75" s="30" t="s">
        <v>38</v>
      </c>
      <c r="C75" s="4">
        <v>-0.1590621534491731</v>
      </c>
      <c r="D75" s="4">
        <v>4.5209950297815923E-2</v>
      </c>
      <c r="F75" s="106" t="s">
        <v>377</v>
      </c>
      <c r="H75" s="61">
        <v>-710.18499999999995</v>
      </c>
      <c r="I75" s="61">
        <v>-724.096</v>
      </c>
      <c r="J75" s="61">
        <v>-724.096</v>
      </c>
      <c r="K75" s="86">
        <v>-601.46299999999997</v>
      </c>
      <c r="L75" s="86">
        <v>-730.149</v>
      </c>
      <c r="M75" s="61">
        <v>-63.828000000000003</v>
      </c>
      <c r="N75" s="61">
        <v>-79.990000000000009</v>
      </c>
      <c r="O75" s="61">
        <v>-86.901999999999987</v>
      </c>
      <c r="P75" s="61">
        <v>-52.460000000000008</v>
      </c>
      <c r="Q75" s="61">
        <v>-58.298000000000002</v>
      </c>
      <c r="R75" s="61">
        <v>-62.045999999999992</v>
      </c>
      <c r="S75" s="61">
        <v>-42.685999999999979</v>
      </c>
      <c r="T75" s="61">
        <v>-31.063000000000045</v>
      </c>
      <c r="U75" s="61">
        <v>-48.525999999999954</v>
      </c>
      <c r="V75" s="61">
        <v>-67.41700000000003</v>
      </c>
      <c r="W75" s="61">
        <v>-69.073999999999955</v>
      </c>
      <c r="X75" s="61">
        <v>-34.846000000000004</v>
      </c>
      <c r="Y75" s="61">
        <v>-697.13599999999997</v>
      </c>
      <c r="AA75" s="61">
        <v>-601.46299999999997</v>
      </c>
      <c r="AB75" s="60">
        <v>-95.67</v>
      </c>
      <c r="AD75" s="61">
        <v>-730.149</v>
      </c>
      <c r="AE75" s="60">
        <v>33.01</v>
      </c>
    </row>
    <row r="76" spans="1:31" ht="18" customHeight="1" x14ac:dyDescent="0.2">
      <c r="A76" s="30" t="s">
        <v>42</v>
      </c>
      <c r="B76" s="30" t="s">
        <v>17</v>
      </c>
      <c r="C76" s="4">
        <v>0</v>
      </c>
      <c r="D76" s="4">
        <v>0</v>
      </c>
      <c r="F76" s="106" t="s">
        <v>207</v>
      </c>
      <c r="H76" s="61">
        <v>0</v>
      </c>
      <c r="I76" s="61">
        <v>0</v>
      </c>
      <c r="J76" s="61">
        <v>0</v>
      </c>
      <c r="K76" s="86">
        <v>0</v>
      </c>
      <c r="L76" s="86">
        <v>0</v>
      </c>
      <c r="M76" s="61">
        <v>0</v>
      </c>
      <c r="N76" s="61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AA76" s="61">
        <v>0</v>
      </c>
      <c r="AB76" s="60">
        <v>0</v>
      </c>
      <c r="AD76" s="61">
        <v>0</v>
      </c>
      <c r="AE76" s="60">
        <v>0</v>
      </c>
    </row>
    <row r="77" spans="1:31" ht="18" customHeight="1" collapsed="1" x14ac:dyDescent="0.2">
      <c r="A77" s="35"/>
      <c r="B77" s="35"/>
      <c r="C77" s="4">
        <v>-0.1590621534491731</v>
      </c>
      <c r="D77" s="4">
        <v>4.5209950297815923E-2</v>
      </c>
      <c r="F77" s="45" t="s">
        <v>41</v>
      </c>
      <c r="H77" s="62">
        <v>-710.18499999999995</v>
      </c>
      <c r="I77" s="62">
        <v>-724.096</v>
      </c>
      <c r="J77" s="62">
        <v>-724.096</v>
      </c>
      <c r="K77" s="108">
        <v>-601.46299999999997</v>
      </c>
      <c r="L77" s="108">
        <v>-730.149</v>
      </c>
      <c r="M77" s="62">
        <v>-63.828000000000003</v>
      </c>
      <c r="N77" s="62">
        <v>-79.990000000000009</v>
      </c>
      <c r="O77" s="62">
        <v>-86.901999999999987</v>
      </c>
      <c r="P77" s="62">
        <v>-52.460000000000008</v>
      </c>
      <c r="Q77" s="62">
        <v>-58.298000000000002</v>
      </c>
      <c r="R77" s="62">
        <v>-62.045999999999992</v>
      </c>
      <c r="S77" s="62">
        <v>-42.685999999999979</v>
      </c>
      <c r="T77" s="62">
        <v>-31.063000000000045</v>
      </c>
      <c r="U77" s="62">
        <v>-48.525999999999954</v>
      </c>
      <c r="V77" s="62">
        <v>-67.41700000000003</v>
      </c>
      <c r="W77" s="62">
        <v>-69.073999999999955</v>
      </c>
      <c r="X77" s="62">
        <v>-34.846000000000004</v>
      </c>
      <c r="Y77" s="62">
        <v>-697.13599999999997</v>
      </c>
      <c r="AA77" s="62">
        <v>-601.46299999999997</v>
      </c>
      <c r="AB77" s="60">
        <v>-95.67</v>
      </c>
      <c r="AD77" s="62">
        <v>-730.149</v>
      </c>
      <c r="AE77" s="60">
        <v>33.01</v>
      </c>
    </row>
    <row r="78" spans="1:31" ht="12.95" customHeight="1" x14ac:dyDescent="0.2">
      <c r="A78" s="35"/>
      <c r="B78" s="35"/>
      <c r="C78" s="4"/>
      <c r="D78" s="4"/>
      <c r="F78" s="39" t="s">
        <v>227</v>
      </c>
      <c r="H78" s="56">
        <v>0.11811142789620675</v>
      </c>
      <c r="I78" s="56">
        <v>0.11143778779148507</v>
      </c>
      <c r="J78" s="56">
        <v>0.11143778779148507</v>
      </c>
      <c r="K78" s="109">
        <v>0.10989065800690846</v>
      </c>
      <c r="L78" s="109">
        <v>0.12391774423403659</v>
      </c>
      <c r="M78" s="56">
        <v>0.12264450042368728</v>
      </c>
      <c r="N78" s="56">
        <v>0.17636345997812822</v>
      </c>
      <c r="O78" s="56">
        <v>0.18912254815549909</v>
      </c>
      <c r="P78" s="56">
        <v>0.10684774705231792</v>
      </c>
      <c r="Q78" s="56">
        <v>0.10655821604825443</v>
      </c>
      <c r="R78" s="56">
        <v>0.12361977246916772</v>
      </c>
      <c r="S78" s="56">
        <v>9.1521317310063161E-2</v>
      </c>
      <c r="T78" s="56">
        <v>6.3976982044511896E-2</v>
      </c>
      <c r="U78" s="56">
        <v>9.8092169363935014E-2</v>
      </c>
      <c r="V78" s="56">
        <v>0.13545302030278383</v>
      </c>
      <c r="W78" s="56">
        <v>0.1407111951304971</v>
      </c>
      <c r="X78" s="56">
        <v>7.1239463628948022E-2</v>
      </c>
      <c r="Y78" s="56">
        <v>0.11820159732621481</v>
      </c>
      <c r="AA78" s="56">
        <v>0.10989065800690846</v>
      </c>
      <c r="AB78" s="57"/>
      <c r="AD78" s="56">
        <v>0.12391774423403658</v>
      </c>
      <c r="AE78" s="57"/>
    </row>
    <row r="79" spans="1:31" ht="18" customHeight="1" x14ac:dyDescent="0.2">
      <c r="A79" s="30" t="s">
        <v>39</v>
      </c>
      <c r="B79" s="30" t="s">
        <v>17</v>
      </c>
      <c r="C79" s="4">
        <v>-1</v>
      </c>
      <c r="D79" s="4">
        <v>-1</v>
      </c>
      <c r="F79" s="45" t="s">
        <v>40</v>
      </c>
      <c r="H79" s="62">
        <v>0</v>
      </c>
      <c r="I79" s="62">
        <v>0.06</v>
      </c>
      <c r="J79" s="62">
        <v>0.06</v>
      </c>
      <c r="K79" s="108">
        <v>0</v>
      </c>
      <c r="L79" s="108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-0.06</v>
      </c>
      <c r="U79" s="62">
        <v>0</v>
      </c>
      <c r="V79" s="62">
        <v>0</v>
      </c>
      <c r="W79" s="62">
        <v>0</v>
      </c>
      <c r="X79" s="62">
        <v>0</v>
      </c>
      <c r="Y79" s="62">
        <v>-0.06</v>
      </c>
      <c r="AA79" s="62">
        <v>0</v>
      </c>
      <c r="AB79" s="60">
        <v>-0.06</v>
      </c>
      <c r="AD79" s="62">
        <v>0</v>
      </c>
      <c r="AE79" s="60">
        <v>-0.06</v>
      </c>
    </row>
    <row r="80" spans="1:31" ht="12.95" customHeight="1" x14ac:dyDescent="0.2">
      <c r="A80" s="35"/>
      <c r="B80" s="35"/>
      <c r="C80" s="4"/>
      <c r="D80" s="4"/>
      <c r="F80" s="39" t="s">
        <v>228</v>
      </c>
      <c r="H80" s="56">
        <v>0</v>
      </c>
      <c r="I80" s="56">
        <v>0</v>
      </c>
      <c r="J80" s="56">
        <v>0</v>
      </c>
      <c r="K80" s="109">
        <v>0</v>
      </c>
      <c r="L80" s="109">
        <v>0</v>
      </c>
      <c r="M80" s="56">
        <v>0</v>
      </c>
      <c r="N80" s="56">
        <v>0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AA80" s="56">
        <v>0</v>
      </c>
      <c r="AB80" s="57"/>
      <c r="AD80" s="56">
        <v>0</v>
      </c>
      <c r="AE80" s="57"/>
    </row>
    <row r="81" spans="1:31" ht="18" hidden="1" customHeight="1" outlineLevel="1" x14ac:dyDescent="0.2">
      <c r="A81" s="30" t="s">
        <v>209</v>
      </c>
      <c r="B81" s="30" t="s">
        <v>17</v>
      </c>
      <c r="C81" s="4">
        <v>0</v>
      </c>
      <c r="D81" s="4">
        <v>0</v>
      </c>
      <c r="F81" s="106" t="s">
        <v>210</v>
      </c>
      <c r="H81" s="61">
        <v>0</v>
      </c>
      <c r="I81" s="61">
        <v>0</v>
      </c>
      <c r="J81" s="61">
        <v>0</v>
      </c>
      <c r="K81" s="86">
        <v>0</v>
      </c>
      <c r="L81" s="86">
        <v>0</v>
      </c>
      <c r="M81" s="61">
        <v>0</v>
      </c>
      <c r="N81" s="61">
        <v>0</v>
      </c>
      <c r="O81" s="61">
        <v>0</v>
      </c>
      <c r="P81" s="61">
        <v>0</v>
      </c>
      <c r="Q81" s="61">
        <v>0</v>
      </c>
      <c r="R81" s="61">
        <v>0</v>
      </c>
      <c r="S81" s="61">
        <v>0</v>
      </c>
      <c r="T81" s="61">
        <v>0</v>
      </c>
      <c r="U81" s="61">
        <v>0</v>
      </c>
      <c r="V81" s="61">
        <v>0</v>
      </c>
      <c r="W81" s="61">
        <v>0</v>
      </c>
      <c r="X81" s="61">
        <v>0</v>
      </c>
      <c r="Y81" s="61">
        <v>0</v>
      </c>
      <c r="AA81" s="61">
        <v>0</v>
      </c>
      <c r="AB81" s="60">
        <v>0</v>
      </c>
      <c r="AD81" s="61">
        <v>0</v>
      </c>
      <c r="AE81" s="60">
        <v>0</v>
      </c>
    </row>
    <row r="82" spans="1:31" ht="18" hidden="1" customHeight="1" outlineLevel="1" x14ac:dyDescent="0.2">
      <c r="A82" s="30" t="s">
        <v>206</v>
      </c>
      <c r="B82" s="30" t="s">
        <v>205</v>
      </c>
      <c r="C82" s="4">
        <v>0.22445840611069107</v>
      </c>
      <c r="D82" s="4">
        <v>-0.18044202841044363</v>
      </c>
      <c r="F82" s="106" t="s">
        <v>208</v>
      </c>
      <c r="H82" s="61">
        <v>-92.004000000000005</v>
      </c>
      <c r="I82" s="61">
        <v>-132.602</v>
      </c>
      <c r="J82" s="61">
        <v>-132.602</v>
      </c>
      <c r="K82" s="86">
        <v>-153.43600000000001</v>
      </c>
      <c r="L82" s="86">
        <v>-100.80800000000001</v>
      </c>
      <c r="M82" s="61">
        <v>-0.91600000000000004</v>
      </c>
      <c r="N82" s="61">
        <v>-1.87</v>
      </c>
      <c r="O82" s="61">
        <v>-4.4930000000000003</v>
      </c>
      <c r="P82" s="61">
        <v>-12.654</v>
      </c>
      <c r="Q82" s="61">
        <v>-10.876000000000001</v>
      </c>
      <c r="R82" s="61">
        <v>-8.3369999999999997</v>
      </c>
      <c r="S82" s="61">
        <v>-7.1880000000000024</v>
      </c>
      <c r="T82" s="61">
        <v>-7.296999999999997</v>
      </c>
      <c r="U82" s="61">
        <v>-15.144000000000005</v>
      </c>
      <c r="V82" s="61">
        <v>-16.220999999999989</v>
      </c>
      <c r="W82" s="61">
        <v>-11.478000000000009</v>
      </c>
      <c r="X82" s="61">
        <v>-22.522999999999996</v>
      </c>
      <c r="Y82" s="61">
        <v>-118.997</v>
      </c>
      <c r="AA82" s="61">
        <v>-153.43600000000001</v>
      </c>
      <c r="AB82" s="60">
        <v>34.44</v>
      </c>
      <c r="AD82" s="61">
        <v>-100.80800000000001</v>
      </c>
      <c r="AE82" s="60">
        <v>-18.190000000000001</v>
      </c>
    </row>
    <row r="83" spans="1:31" ht="18" customHeight="1" collapsed="1" x14ac:dyDescent="0.2">
      <c r="A83" s="35"/>
      <c r="B83" s="35"/>
      <c r="C83" s="4">
        <v>0.22445840611069107</v>
      </c>
      <c r="D83" s="4">
        <v>-0.18044202841044363</v>
      </c>
      <c r="F83" s="45" t="s">
        <v>314</v>
      </c>
      <c r="H83" s="62">
        <v>-92.004000000000005</v>
      </c>
      <c r="I83" s="62">
        <v>-132.602</v>
      </c>
      <c r="J83" s="62">
        <v>-132.602</v>
      </c>
      <c r="K83" s="108">
        <v>-153.43600000000001</v>
      </c>
      <c r="L83" s="108">
        <v>-100.80800000000001</v>
      </c>
      <c r="M83" s="62">
        <v>-0.91600000000000004</v>
      </c>
      <c r="N83" s="62">
        <v>-1.87</v>
      </c>
      <c r="O83" s="62">
        <v>-4.4930000000000003</v>
      </c>
      <c r="P83" s="62">
        <v>-12.654</v>
      </c>
      <c r="Q83" s="62">
        <v>-10.876000000000001</v>
      </c>
      <c r="R83" s="62">
        <v>-8.3369999999999997</v>
      </c>
      <c r="S83" s="62">
        <v>-7.1880000000000024</v>
      </c>
      <c r="T83" s="62">
        <v>-7.296999999999997</v>
      </c>
      <c r="U83" s="62">
        <v>-15.144000000000005</v>
      </c>
      <c r="V83" s="62">
        <v>-16.220999999999989</v>
      </c>
      <c r="W83" s="62">
        <v>-11.478000000000009</v>
      </c>
      <c r="X83" s="62">
        <v>-22.522999999999996</v>
      </c>
      <c r="Y83" s="62">
        <v>-118.997</v>
      </c>
      <c r="AA83" s="62">
        <v>-153.43600000000001</v>
      </c>
      <c r="AB83" s="60">
        <v>34.44</v>
      </c>
      <c r="AD83" s="62">
        <v>-100.80800000000001</v>
      </c>
      <c r="AE83" s="60">
        <v>-18.190000000000001</v>
      </c>
    </row>
    <row r="84" spans="1:31" ht="12.95" customHeight="1" x14ac:dyDescent="0.2">
      <c r="A84" s="35"/>
      <c r="B84" s="35"/>
      <c r="C84" s="4"/>
      <c r="D84" s="4"/>
      <c r="F84" s="39" t="s">
        <v>222</v>
      </c>
      <c r="H84" s="56">
        <v>0.12313910768180633</v>
      </c>
      <c r="I84" s="56">
        <v>0.31878469375734747</v>
      </c>
      <c r="J84" s="56">
        <v>0.31878469375734747</v>
      </c>
      <c r="K84" s="109">
        <v>0.35600000000000004</v>
      </c>
      <c r="L84" s="109">
        <v>0.35734845799361931</v>
      </c>
      <c r="M84" s="56">
        <v>3.2788058846690768E-2</v>
      </c>
      <c r="N84" s="56">
        <v>8.285701626124331E-2</v>
      </c>
      <c r="O84" s="56">
        <v>0.12268581726830867</v>
      </c>
      <c r="P84" s="56">
        <v>0.53915636983383042</v>
      </c>
      <c r="Q84" s="56">
        <v>1.4144882299388726</v>
      </c>
      <c r="R84" s="56">
        <v>0.17288072329130727</v>
      </c>
      <c r="S84" s="56">
        <v>0.39325965641755145</v>
      </c>
      <c r="T84" s="56">
        <v>0.32032484635645286</v>
      </c>
      <c r="U84" s="56">
        <v>1.0239350912778895</v>
      </c>
      <c r="V84" s="56">
        <v>6.2173246454580724</v>
      </c>
      <c r="W84" s="56">
        <v>0.26566369633144327</v>
      </c>
      <c r="X84" s="56">
        <v>0.37117054761787055</v>
      </c>
      <c r="Y84" s="56">
        <v>0.36185358852256627</v>
      </c>
      <c r="AA84" s="56">
        <v>0.35600000000000004</v>
      </c>
      <c r="AB84" s="57"/>
      <c r="AD84" s="56">
        <v>0.35734845799361931</v>
      </c>
      <c r="AE84" s="57"/>
    </row>
    <row r="85" spans="1:31" ht="18" hidden="1" customHeight="1" outlineLevel="2" x14ac:dyDescent="0.2">
      <c r="A85" s="33" t="s">
        <v>43</v>
      </c>
      <c r="B85" s="33" t="s">
        <v>17</v>
      </c>
      <c r="C85" s="4"/>
      <c r="D85" s="4"/>
      <c r="F85" s="38" t="s">
        <v>44</v>
      </c>
      <c r="H85" s="66">
        <v>0</v>
      </c>
      <c r="I85" s="66">
        <v>0</v>
      </c>
      <c r="J85" s="66">
        <v>0</v>
      </c>
      <c r="K85" s="86"/>
      <c r="L85" s="86"/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AA85" s="70"/>
      <c r="AB85" s="71"/>
      <c r="AD85" s="70"/>
      <c r="AE85" s="71"/>
    </row>
    <row r="86" spans="1:31" ht="18" hidden="1" customHeight="1" outlineLevel="2" x14ac:dyDescent="0.2">
      <c r="A86" s="33" t="s">
        <v>43</v>
      </c>
      <c r="B86" s="33" t="s">
        <v>17</v>
      </c>
      <c r="C86" s="4"/>
      <c r="D86" s="4"/>
      <c r="F86" s="38" t="s">
        <v>45</v>
      </c>
      <c r="H86" s="66">
        <v>0</v>
      </c>
      <c r="I86" s="66">
        <v>0</v>
      </c>
      <c r="J86" s="66">
        <v>0</v>
      </c>
      <c r="K86" s="86"/>
      <c r="L86" s="86"/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AA86" s="70"/>
      <c r="AB86" s="71"/>
      <c r="AD86" s="70"/>
      <c r="AE86" s="71"/>
    </row>
    <row r="87" spans="1:31" ht="18" hidden="1" customHeight="1" outlineLevel="2" x14ac:dyDescent="0.2">
      <c r="A87" s="33" t="s">
        <v>46</v>
      </c>
      <c r="B87" s="33" t="s">
        <v>17</v>
      </c>
      <c r="C87" s="4">
        <v>0</v>
      </c>
      <c r="D87" s="4">
        <v>0</v>
      </c>
      <c r="F87" s="38" t="s">
        <v>47</v>
      </c>
      <c r="H87" s="66">
        <v>-8.7520000000000007</v>
      </c>
      <c r="I87" s="66">
        <v>-6.52</v>
      </c>
      <c r="J87" s="66">
        <v>-6.52</v>
      </c>
      <c r="K87" s="86">
        <v>0</v>
      </c>
      <c r="L87" s="8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-7.2990000000000004</v>
      </c>
      <c r="T87" s="66">
        <v>7.2990000000000004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AA87" s="66">
        <v>0</v>
      </c>
      <c r="AB87" s="65">
        <v>0</v>
      </c>
      <c r="AD87" s="66">
        <v>0</v>
      </c>
      <c r="AE87" s="65">
        <v>0</v>
      </c>
    </row>
    <row r="88" spans="1:31" ht="18" hidden="1" customHeight="1" outlineLevel="1" x14ac:dyDescent="0.2">
      <c r="A88" s="35"/>
      <c r="B88" s="35"/>
      <c r="C88" s="4">
        <v>0</v>
      </c>
      <c r="D88" s="4">
        <v>0</v>
      </c>
      <c r="F88" s="106" t="s">
        <v>48</v>
      </c>
      <c r="H88" s="61">
        <v>-8.7520000000000007</v>
      </c>
      <c r="I88" s="61">
        <v>-6.52</v>
      </c>
      <c r="J88" s="61">
        <v>-6.52</v>
      </c>
      <c r="K88" s="86">
        <v>0</v>
      </c>
      <c r="L88" s="86">
        <v>0</v>
      </c>
      <c r="M88" s="61">
        <v>0</v>
      </c>
      <c r="N88" s="61">
        <v>0</v>
      </c>
      <c r="O88" s="61">
        <v>0</v>
      </c>
      <c r="P88" s="61">
        <v>0</v>
      </c>
      <c r="Q88" s="61">
        <v>0</v>
      </c>
      <c r="R88" s="61">
        <v>0</v>
      </c>
      <c r="S88" s="61">
        <v>-7.2990000000000004</v>
      </c>
      <c r="T88" s="61">
        <v>7.2990000000000004</v>
      </c>
      <c r="U88" s="61">
        <v>0</v>
      </c>
      <c r="V88" s="61">
        <v>0</v>
      </c>
      <c r="W88" s="61">
        <v>0</v>
      </c>
      <c r="X88" s="61">
        <v>0</v>
      </c>
      <c r="Y88" s="61">
        <v>0</v>
      </c>
      <c r="AA88" s="61">
        <v>0</v>
      </c>
      <c r="AB88" s="60">
        <v>0</v>
      </c>
      <c r="AD88" s="61">
        <v>0</v>
      </c>
      <c r="AE88" s="60">
        <v>0</v>
      </c>
    </row>
    <row r="89" spans="1:31" ht="18" hidden="1" customHeight="1" outlineLevel="1" x14ac:dyDescent="0.2">
      <c r="A89" s="30" t="s">
        <v>50</v>
      </c>
      <c r="B89" s="30" t="s">
        <v>17</v>
      </c>
      <c r="C89" s="4">
        <v>-1.0018438844499078</v>
      </c>
      <c r="D89" s="4">
        <v>-1.0018438844499078</v>
      </c>
      <c r="F89" s="106" t="s">
        <v>52</v>
      </c>
      <c r="H89" s="61">
        <v>1.4E-2</v>
      </c>
      <c r="I89" s="61">
        <v>-0.61499999999999999</v>
      </c>
      <c r="J89" s="61">
        <v>-0.61499999999999999</v>
      </c>
      <c r="K89" s="86">
        <v>0</v>
      </c>
      <c r="L89" s="86">
        <v>0</v>
      </c>
      <c r="M89" s="61">
        <v>0</v>
      </c>
      <c r="N89" s="61">
        <v>0</v>
      </c>
      <c r="O89" s="61">
        <v>0</v>
      </c>
      <c r="P89" s="61">
        <v>0</v>
      </c>
      <c r="Q89" s="61">
        <v>0</v>
      </c>
      <c r="R89" s="61">
        <v>0</v>
      </c>
      <c r="S89" s="61">
        <v>0</v>
      </c>
      <c r="T89" s="61">
        <v>-1.0680000000000001</v>
      </c>
      <c r="U89" s="61">
        <v>-3.6999999999999922E-2</v>
      </c>
      <c r="V89" s="61">
        <v>0</v>
      </c>
      <c r="W89" s="61">
        <v>0</v>
      </c>
      <c r="X89" s="61">
        <v>-0.52200000000000002</v>
      </c>
      <c r="Y89" s="61">
        <v>-1.627</v>
      </c>
      <c r="AA89" s="61">
        <v>0</v>
      </c>
      <c r="AB89" s="60">
        <v>-1.63</v>
      </c>
      <c r="AD89" s="61">
        <v>0</v>
      </c>
      <c r="AE89" s="60">
        <v>-1.63</v>
      </c>
    </row>
    <row r="90" spans="1:31" ht="18" hidden="1" customHeight="1" outlineLevel="1" x14ac:dyDescent="0.2">
      <c r="A90" s="30" t="s">
        <v>49</v>
      </c>
      <c r="B90" s="30" t="s">
        <v>17</v>
      </c>
      <c r="C90" s="4">
        <v>0</v>
      </c>
      <c r="D90" s="4">
        <v>0</v>
      </c>
      <c r="F90" s="106" t="s">
        <v>51</v>
      </c>
      <c r="H90" s="61">
        <v>0</v>
      </c>
      <c r="I90" s="61">
        <v>0</v>
      </c>
      <c r="J90" s="61">
        <v>0</v>
      </c>
      <c r="K90" s="86">
        <v>0</v>
      </c>
      <c r="L90" s="86">
        <v>0</v>
      </c>
      <c r="M90" s="61">
        <v>0</v>
      </c>
      <c r="N90" s="61">
        <v>0</v>
      </c>
      <c r="O90" s="61">
        <v>0</v>
      </c>
      <c r="P90" s="61">
        <v>0</v>
      </c>
      <c r="Q90" s="61">
        <v>0</v>
      </c>
      <c r="R90" s="61">
        <v>0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0</v>
      </c>
      <c r="Y90" s="61">
        <v>0</v>
      </c>
      <c r="AA90" s="61">
        <v>0</v>
      </c>
      <c r="AB90" s="60">
        <v>0</v>
      </c>
      <c r="AD90" s="61">
        <v>0</v>
      </c>
      <c r="AE90" s="60">
        <v>0</v>
      </c>
    </row>
    <row r="91" spans="1:31" ht="18" hidden="1" customHeight="1" outlineLevel="1" x14ac:dyDescent="0.2">
      <c r="A91" s="30" t="s">
        <v>213</v>
      </c>
      <c r="B91" s="30" t="s">
        <v>17</v>
      </c>
      <c r="C91" s="4">
        <v>-1.0003677822728945</v>
      </c>
      <c r="D91" s="4">
        <v>-1.0003677822728945</v>
      </c>
      <c r="F91" s="106" t="s">
        <v>215</v>
      </c>
      <c r="H91" s="61">
        <v>-3.8290000000000002</v>
      </c>
      <c r="I91" s="61">
        <v>-3.403</v>
      </c>
      <c r="J91" s="61">
        <v>-3.403</v>
      </c>
      <c r="K91" s="86">
        <v>0</v>
      </c>
      <c r="L91" s="86">
        <v>0</v>
      </c>
      <c r="M91" s="61">
        <v>-0.29699999999999999</v>
      </c>
      <c r="N91" s="61">
        <v>-1.0000000000000009E-3</v>
      </c>
      <c r="O91" s="61">
        <v>-0.184</v>
      </c>
      <c r="P91" s="61">
        <v>-0.15400000000000003</v>
      </c>
      <c r="Q91" s="61">
        <v>-6.0000000000000053E-3</v>
      </c>
      <c r="R91" s="61">
        <v>-0.48999999999999988</v>
      </c>
      <c r="S91" s="61">
        <v>-0.17600000000000016</v>
      </c>
      <c r="T91" s="61">
        <v>-0.45899999999999985</v>
      </c>
      <c r="U91" s="61">
        <v>-0.25600000000000023</v>
      </c>
      <c r="V91" s="61">
        <v>-0.22100000000000009</v>
      </c>
      <c r="W91" s="61">
        <v>-0.34999999999999964</v>
      </c>
      <c r="X91" s="61">
        <v>-0.125</v>
      </c>
      <c r="Y91" s="61">
        <v>-2.7189999999999999</v>
      </c>
      <c r="AA91" s="61">
        <v>0</v>
      </c>
      <c r="AB91" s="60">
        <v>-2.72</v>
      </c>
      <c r="AD91" s="61">
        <v>0</v>
      </c>
      <c r="AE91" s="60">
        <v>-2.72</v>
      </c>
    </row>
    <row r="92" spans="1:31" ht="18" hidden="1" customHeight="1" outlineLevel="1" x14ac:dyDescent="0.2">
      <c r="A92" s="30" t="s">
        <v>214</v>
      </c>
      <c r="B92" s="30" t="s">
        <v>17</v>
      </c>
      <c r="C92" s="4">
        <v>0</v>
      </c>
      <c r="D92" s="4">
        <v>0</v>
      </c>
      <c r="F92" s="106" t="s">
        <v>216</v>
      </c>
      <c r="H92" s="61">
        <v>0</v>
      </c>
      <c r="I92" s="61">
        <v>0</v>
      </c>
      <c r="J92" s="61">
        <v>0</v>
      </c>
      <c r="K92" s="86">
        <v>0</v>
      </c>
      <c r="L92" s="86">
        <v>0</v>
      </c>
      <c r="M92" s="61">
        <v>0</v>
      </c>
      <c r="N92" s="61">
        <v>0</v>
      </c>
      <c r="O92" s="61">
        <v>0</v>
      </c>
      <c r="P92" s="61">
        <v>0</v>
      </c>
      <c r="Q92" s="61">
        <v>0</v>
      </c>
      <c r="R92" s="61">
        <v>0</v>
      </c>
      <c r="S92" s="61">
        <v>0</v>
      </c>
      <c r="T92" s="61">
        <v>0</v>
      </c>
      <c r="U92" s="61">
        <v>0</v>
      </c>
      <c r="V92" s="61">
        <v>0</v>
      </c>
      <c r="W92" s="61">
        <v>0</v>
      </c>
      <c r="X92" s="61">
        <v>0</v>
      </c>
      <c r="Y92" s="61">
        <v>0</v>
      </c>
      <c r="AA92" s="61">
        <v>0</v>
      </c>
      <c r="AB92" s="60">
        <v>0</v>
      </c>
      <c r="AD92" s="61">
        <v>0</v>
      </c>
      <c r="AE92" s="60">
        <v>0</v>
      </c>
    </row>
    <row r="93" spans="1:31" ht="18" hidden="1" customHeight="1" outlineLevel="2" x14ac:dyDescent="0.2">
      <c r="A93" s="33" t="s">
        <v>53</v>
      </c>
      <c r="B93" s="33" t="s">
        <v>17</v>
      </c>
      <c r="C93" s="4">
        <v>-1.0001112223334445</v>
      </c>
      <c r="D93" s="4">
        <v>-1.0001112223334445</v>
      </c>
      <c r="F93" s="38" t="s">
        <v>55</v>
      </c>
      <c r="H93" s="66">
        <v>0</v>
      </c>
      <c r="I93" s="66">
        <v>0</v>
      </c>
      <c r="J93" s="66">
        <v>0</v>
      </c>
      <c r="K93" s="86">
        <v>0</v>
      </c>
      <c r="L93" s="8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-44.23</v>
      </c>
      <c r="W93" s="66">
        <v>-0.72500000000000142</v>
      </c>
      <c r="X93" s="66">
        <v>0</v>
      </c>
      <c r="Y93" s="66">
        <v>-44.954999999999998</v>
      </c>
      <c r="AA93" s="66">
        <v>0</v>
      </c>
      <c r="AB93" s="60">
        <v>-44.96</v>
      </c>
      <c r="AD93" s="66">
        <v>0</v>
      </c>
      <c r="AE93" s="60">
        <v>-44.96</v>
      </c>
    </row>
    <row r="94" spans="1:31" ht="18" hidden="1" customHeight="1" outlineLevel="2" x14ac:dyDescent="0.2">
      <c r="A94" s="33" t="s">
        <v>54</v>
      </c>
      <c r="B94" s="33" t="s">
        <v>17</v>
      </c>
      <c r="C94" s="4">
        <v>0</v>
      </c>
      <c r="D94" s="4">
        <v>0</v>
      </c>
      <c r="F94" s="38" t="s">
        <v>56</v>
      </c>
      <c r="H94" s="66">
        <v>0</v>
      </c>
      <c r="I94" s="66">
        <v>0</v>
      </c>
      <c r="J94" s="66">
        <v>0</v>
      </c>
      <c r="K94" s="86">
        <v>0</v>
      </c>
      <c r="L94" s="8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AA94" s="66">
        <v>0</v>
      </c>
      <c r="AB94" s="60">
        <v>0</v>
      </c>
      <c r="AD94" s="66">
        <v>0</v>
      </c>
      <c r="AE94" s="60">
        <v>0</v>
      </c>
    </row>
    <row r="95" spans="1:31" ht="18" hidden="1" customHeight="1" outlineLevel="1" x14ac:dyDescent="0.2">
      <c r="A95" s="35"/>
      <c r="B95" s="35"/>
      <c r="C95" s="4">
        <v>1.0010035122930325</v>
      </c>
      <c r="D95" s="4">
        <v>1.0010035122930325</v>
      </c>
      <c r="F95" s="106" t="s">
        <v>58</v>
      </c>
      <c r="H95" s="61">
        <v>1.9199999999999384</v>
      </c>
      <c r="I95" s="61">
        <v>7.6840000000000437</v>
      </c>
      <c r="J95" s="61">
        <v>7.6840000000000437</v>
      </c>
      <c r="K95" s="86">
        <v>0</v>
      </c>
      <c r="L95" s="86">
        <v>0</v>
      </c>
      <c r="M95" s="61">
        <v>-0.74600000000000333</v>
      </c>
      <c r="N95" s="61">
        <v>-1.2819999999999916</v>
      </c>
      <c r="O95" s="61">
        <v>-0.77900000000001701</v>
      </c>
      <c r="P95" s="61">
        <v>-0.40799999999997982</v>
      </c>
      <c r="Q95" s="61">
        <v>-6.2729999999999713</v>
      </c>
      <c r="R95" s="61">
        <v>1.1299999999999399</v>
      </c>
      <c r="S95" s="61">
        <v>19.710000000000029</v>
      </c>
      <c r="T95" s="61">
        <v>-25.578999999999933</v>
      </c>
      <c r="U95" s="61">
        <v>1.8949999999998619</v>
      </c>
      <c r="V95" s="61">
        <v>-8.6539999999999004</v>
      </c>
      <c r="W95" s="61">
        <v>27.642999999999951</v>
      </c>
      <c r="X95" s="61">
        <v>-2.6710000000000118</v>
      </c>
      <c r="Y95" s="61">
        <v>3.9859999999999722</v>
      </c>
      <c r="AA95" s="61">
        <v>0</v>
      </c>
      <c r="AB95" s="60">
        <v>3.99</v>
      </c>
      <c r="AD95" s="61">
        <v>0</v>
      </c>
      <c r="AE95" s="60">
        <v>3.99</v>
      </c>
    </row>
    <row r="96" spans="1:31" ht="18" customHeight="1" collapsed="1" x14ac:dyDescent="0.2">
      <c r="A96" s="35"/>
      <c r="B96" s="35"/>
      <c r="C96" s="4">
        <v>-0.99999999999992262</v>
      </c>
      <c r="D96" s="4">
        <v>-0.99999999999992262</v>
      </c>
      <c r="F96" s="45" t="s">
        <v>26</v>
      </c>
      <c r="H96" s="62">
        <v>-10.647000000000062</v>
      </c>
      <c r="I96" s="62">
        <v>-2.8539999999999566</v>
      </c>
      <c r="J96" s="62">
        <v>-2.8539999999999566</v>
      </c>
      <c r="K96" s="108">
        <v>0</v>
      </c>
      <c r="L96" s="108">
        <v>0</v>
      </c>
      <c r="M96" s="62">
        <v>-1.0430000000000033</v>
      </c>
      <c r="N96" s="62">
        <v>-1.2829999999999915</v>
      </c>
      <c r="O96" s="62">
        <v>-0.96300000000001695</v>
      </c>
      <c r="P96" s="62">
        <v>-0.56199999999997985</v>
      </c>
      <c r="Q96" s="62">
        <v>-6.2789999999999715</v>
      </c>
      <c r="R96" s="62">
        <v>0.63999999999994017</v>
      </c>
      <c r="S96" s="62">
        <v>12.235000000000028</v>
      </c>
      <c r="T96" s="62">
        <v>-19.806999999999935</v>
      </c>
      <c r="U96" s="62">
        <v>1.6019999999998618</v>
      </c>
      <c r="V96" s="62">
        <v>-8.8749999999999005</v>
      </c>
      <c r="W96" s="62">
        <v>27.29299999999995</v>
      </c>
      <c r="X96" s="62">
        <v>-3.3180000000000121</v>
      </c>
      <c r="Y96" s="62">
        <v>-0.36000000000002785</v>
      </c>
      <c r="AA96" s="62">
        <v>0</v>
      </c>
      <c r="AB96" s="60">
        <v>-0.36</v>
      </c>
      <c r="AD96" s="62">
        <v>0</v>
      </c>
      <c r="AE96" s="60">
        <v>-0.36</v>
      </c>
    </row>
    <row r="97" spans="1:31" ht="18" customHeight="1" x14ac:dyDescent="0.2">
      <c r="A97" s="30" t="s">
        <v>16</v>
      </c>
      <c r="B97" s="30" t="s">
        <v>17</v>
      </c>
      <c r="C97" s="4">
        <v>-8.166655406882245E-2</v>
      </c>
      <c r="D97" s="4">
        <v>1.7329416564274686E-2</v>
      </c>
      <c r="F97" s="95" t="s">
        <v>118</v>
      </c>
      <c r="H97" s="64">
        <v>-812.83600000000001</v>
      </c>
      <c r="I97" s="64">
        <v>-859.49199999999996</v>
      </c>
      <c r="J97" s="64">
        <v>-859.49199999999996</v>
      </c>
      <c r="K97" s="89">
        <v>-754.899</v>
      </c>
      <c r="L97" s="89">
        <v>-830.95699999999999</v>
      </c>
      <c r="M97" s="64">
        <v>-65.787000000000006</v>
      </c>
      <c r="N97" s="64">
        <v>-83.143000000000001</v>
      </c>
      <c r="O97" s="64">
        <v>-92.358000000000004</v>
      </c>
      <c r="P97" s="64">
        <v>-65.675999999999988</v>
      </c>
      <c r="Q97" s="64">
        <v>-75.452999999999975</v>
      </c>
      <c r="R97" s="64">
        <v>-69.743000000000052</v>
      </c>
      <c r="S97" s="64">
        <v>-37.638999999999953</v>
      </c>
      <c r="T97" s="64">
        <v>-58.226999999999975</v>
      </c>
      <c r="U97" s="64">
        <v>-62.068000000000097</v>
      </c>
      <c r="V97" s="64">
        <v>-92.51299999999992</v>
      </c>
      <c r="W97" s="64">
        <v>-53.259000000000015</v>
      </c>
      <c r="X97" s="64">
        <v>-60.687000000000012</v>
      </c>
      <c r="Y97" s="64">
        <v>-816.553</v>
      </c>
      <c r="AA97" s="64">
        <v>-754.899</v>
      </c>
      <c r="AB97" s="60">
        <v>-61.65</v>
      </c>
      <c r="AD97" s="64">
        <v>-830.95699999999999</v>
      </c>
      <c r="AE97" s="60">
        <v>14.4</v>
      </c>
    </row>
    <row r="98" spans="1:31" ht="12.95" customHeight="1" x14ac:dyDescent="0.2">
      <c r="A98" s="35"/>
      <c r="B98" s="35"/>
      <c r="C98" s="4"/>
      <c r="D98" s="4"/>
      <c r="F98" s="39" t="s">
        <v>223</v>
      </c>
      <c r="H98" s="56">
        <v>0.1202421185580934</v>
      </c>
      <c r="I98" s="56">
        <v>0.12431684761360777</v>
      </c>
      <c r="J98" s="56">
        <v>0.12431684761360777</v>
      </c>
      <c r="K98" s="109">
        <v>0.12785610317657375</v>
      </c>
      <c r="L98" s="109">
        <v>0.13458303903579785</v>
      </c>
      <c r="M98" s="56">
        <v>0.11996870714556648</v>
      </c>
      <c r="N98" s="56">
        <v>0.17462577790099579</v>
      </c>
      <c r="O98" s="56">
        <v>0.18615948061267065</v>
      </c>
      <c r="P98" s="56">
        <v>0.12766280039420813</v>
      </c>
      <c r="Q98" s="56">
        <v>0.13600305701807347</v>
      </c>
      <c r="R98" s="56">
        <v>0.12677456765079068</v>
      </c>
      <c r="S98" s="56">
        <v>7.7656942785284275E-2</v>
      </c>
      <c r="T98" s="56">
        <v>0.11454927466093796</v>
      </c>
      <c r="U98" s="56">
        <v>0.12182426278931027</v>
      </c>
      <c r="V98" s="56">
        <v>0.18490618079484472</v>
      </c>
      <c r="W98" s="56">
        <v>9.9717841515679792E-2</v>
      </c>
      <c r="X98" s="56">
        <v>0.11037612309483102</v>
      </c>
      <c r="Y98" s="56">
        <v>0.13113714947379917</v>
      </c>
      <c r="AA98" s="56">
        <v>0.12785610317657375</v>
      </c>
      <c r="AB98" s="57"/>
      <c r="AD98" s="56">
        <v>0.13458303903579785</v>
      </c>
      <c r="AE98" s="57"/>
    </row>
    <row r="99" spans="1:31" ht="6.95" customHeight="1" x14ac:dyDescent="0.2">
      <c r="C99" s="4"/>
      <c r="D99" s="4"/>
      <c r="F99" s="96"/>
      <c r="K99" s="110"/>
      <c r="L99" s="110"/>
      <c r="AB99" s="7"/>
      <c r="AE99" s="7"/>
    </row>
    <row r="100" spans="1:31" ht="18" hidden="1" customHeight="1" outlineLevel="1" x14ac:dyDescent="0.2">
      <c r="A100" s="30" t="s">
        <v>36</v>
      </c>
      <c r="B100" s="30" t="s">
        <v>59</v>
      </c>
      <c r="C100" s="4"/>
      <c r="D100" s="4"/>
      <c r="F100" s="51" t="s">
        <v>235</v>
      </c>
      <c r="G100" s="34"/>
      <c r="H100" s="72">
        <v>2.76</v>
      </c>
      <c r="I100" s="72">
        <v>2.6739999999999999</v>
      </c>
      <c r="J100" s="72">
        <v>2.6739999999999999</v>
      </c>
      <c r="K100" s="111">
        <v>3</v>
      </c>
      <c r="L100" s="111">
        <v>3.6760000000000002</v>
      </c>
      <c r="M100" s="72">
        <v>3.9359999999999999</v>
      </c>
      <c r="N100" s="72">
        <v>3.8040000000000003</v>
      </c>
      <c r="O100" s="72">
        <v>2.6760000000000002</v>
      </c>
      <c r="P100" s="72">
        <v>3.4319999999999986</v>
      </c>
      <c r="Q100" s="72">
        <v>3.7560000000000002</v>
      </c>
      <c r="R100" s="72">
        <v>3.9840000000000018</v>
      </c>
      <c r="S100" s="72">
        <v>3.9839999999999947</v>
      </c>
      <c r="T100" s="72">
        <v>3.9840000000000053</v>
      </c>
      <c r="U100" s="72">
        <v>2.3760000000000012</v>
      </c>
      <c r="V100" s="72">
        <v>2.9879999999999995</v>
      </c>
      <c r="W100" s="72">
        <v>2.9879999999999995</v>
      </c>
      <c r="X100" s="72">
        <v>3.5759999999999934</v>
      </c>
      <c r="Y100" s="72">
        <v>3.4569999999999994</v>
      </c>
      <c r="Z100" s="34"/>
      <c r="AA100" s="72">
        <v>3</v>
      </c>
      <c r="AB100" s="73">
        <v>0.46</v>
      </c>
      <c r="AC100" s="34"/>
      <c r="AD100" s="72">
        <v>3.6760000000000002</v>
      </c>
      <c r="AE100" s="73">
        <v>-0.22</v>
      </c>
    </row>
    <row r="101" spans="1:31" ht="18" hidden="1" customHeight="1" outlineLevel="1" x14ac:dyDescent="0.2">
      <c r="A101" s="30" t="s">
        <v>36</v>
      </c>
      <c r="B101" s="30" t="s">
        <v>60</v>
      </c>
      <c r="C101" s="4"/>
      <c r="D101" s="4"/>
      <c r="F101" s="51" t="s">
        <v>236</v>
      </c>
      <c r="G101" s="34"/>
      <c r="H101" s="72">
        <v>0.99</v>
      </c>
      <c r="I101" s="72">
        <v>0.85899999999999999</v>
      </c>
      <c r="J101" s="72">
        <v>0.85899999999999999</v>
      </c>
      <c r="K101" s="111">
        <v>1</v>
      </c>
      <c r="L101" s="111">
        <v>1.1060000000000001</v>
      </c>
      <c r="M101" s="72">
        <v>0.996</v>
      </c>
      <c r="N101" s="72">
        <v>0.69599999999999973</v>
      </c>
      <c r="O101" s="72">
        <v>0.99600000000000044</v>
      </c>
      <c r="P101" s="72">
        <v>0.996</v>
      </c>
      <c r="Q101" s="72">
        <v>0.94799999999999951</v>
      </c>
      <c r="R101" s="72">
        <v>0.99600000000000044</v>
      </c>
      <c r="S101" s="72">
        <v>0.72000000000000064</v>
      </c>
      <c r="T101" s="72">
        <v>0.76799999999999891</v>
      </c>
      <c r="U101" s="72">
        <v>0.34800000000000075</v>
      </c>
      <c r="V101" s="72">
        <v>0.99599999999999866</v>
      </c>
      <c r="W101" s="72">
        <v>0.99600000000000044</v>
      </c>
      <c r="X101" s="72">
        <v>1.032</v>
      </c>
      <c r="Y101" s="72">
        <v>0.874</v>
      </c>
      <c r="Z101" s="34"/>
      <c r="AA101" s="72">
        <v>1</v>
      </c>
      <c r="AB101" s="73">
        <v>-0.13</v>
      </c>
      <c r="AC101" s="34"/>
      <c r="AD101" s="72">
        <v>1.1060000000000001</v>
      </c>
      <c r="AE101" s="73">
        <v>-0.23</v>
      </c>
    </row>
    <row r="102" spans="1:31" ht="18" hidden="1" customHeight="1" outlineLevel="1" x14ac:dyDescent="0.2">
      <c r="A102" s="30" t="s">
        <v>36</v>
      </c>
      <c r="B102" s="30" t="s">
        <v>61</v>
      </c>
      <c r="C102" s="4"/>
      <c r="D102" s="4"/>
      <c r="F102" s="51" t="s">
        <v>237</v>
      </c>
      <c r="G102" s="34"/>
      <c r="H102" s="72">
        <v>44.39</v>
      </c>
      <c r="I102" s="72">
        <v>44.482999999999997</v>
      </c>
      <c r="J102" s="72">
        <v>44.482999999999997</v>
      </c>
      <c r="K102" s="111">
        <v>36.792999999999999</v>
      </c>
      <c r="L102" s="111">
        <v>40.066000000000003</v>
      </c>
      <c r="M102" s="72">
        <v>36.552</v>
      </c>
      <c r="N102" s="72">
        <v>37.032000000000004</v>
      </c>
      <c r="O102" s="72">
        <v>36.263999999999996</v>
      </c>
      <c r="P102" s="72">
        <v>40.583999999999989</v>
      </c>
      <c r="Q102" s="72">
        <v>39.240000000000009</v>
      </c>
      <c r="R102" s="72">
        <v>40.188000000000017</v>
      </c>
      <c r="S102" s="72">
        <v>40.007999999999981</v>
      </c>
      <c r="T102" s="72">
        <v>39.300000000000011</v>
      </c>
      <c r="U102" s="72">
        <v>36.659999999999968</v>
      </c>
      <c r="V102" s="72">
        <v>37.104000000000042</v>
      </c>
      <c r="W102" s="72">
        <v>41.951999999999941</v>
      </c>
      <c r="X102" s="72">
        <v>43.632000000000005</v>
      </c>
      <c r="Y102" s="72">
        <v>39.042999999999999</v>
      </c>
      <c r="Z102" s="34"/>
      <c r="AA102" s="72">
        <v>36.792999999999999</v>
      </c>
      <c r="AB102" s="73">
        <v>2.25</v>
      </c>
      <c r="AC102" s="34"/>
      <c r="AD102" s="72">
        <v>40.066000000000003</v>
      </c>
      <c r="AE102" s="73">
        <v>-1.02</v>
      </c>
    </row>
    <row r="103" spans="1:31" ht="18" hidden="1" customHeight="1" outlineLevel="1" x14ac:dyDescent="0.2">
      <c r="A103" s="30" t="s">
        <v>36</v>
      </c>
      <c r="B103" s="30" t="s">
        <v>62</v>
      </c>
      <c r="C103" s="4"/>
      <c r="D103" s="4"/>
      <c r="F103" s="51" t="s">
        <v>238</v>
      </c>
      <c r="G103" s="34"/>
      <c r="H103" s="72">
        <v>2.11</v>
      </c>
      <c r="I103" s="72">
        <v>1.8220000000000001</v>
      </c>
      <c r="J103" s="72">
        <v>1.8220000000000001</v>
      </c>
      <c r="K103" s="111">
        <v>0.5</v>
      </c>
      <c r="L103" s="111">
        <v>2.0230000000000001</v>
      </c>
      <c r="M103" s="72">
        <v>1.6919999999999997</v>
      </c>
      <c r="N103" s="72">
        <v>0.99600000000000044</v>
      </c>
      <c r="O103" s="72">
        <v>1.7639999999999998</v>
      </c>
      <c r="P103" s="72">
        <v>1.9920000000000009</v>
      </c>
      <c r="Q103" s="72">
        <v>1.9919999999999991</v>
      </c>
      <c r="R103" s="72">
        <v>1.9439999999999991</v>
      </c>
      <c r="S103" s="72">
        <v>1.9080000000000013</v>
      </c>
      <c r="T103" s="72">
        <v>1.9919999999999991</v>
      </c>
      <c r="U103" s="72">
        <v>1.5840000000000014</v>
      </c>
      <c r="V103" s="72">
        <v>1.9920000000000009</v>
      </c>
      <c r="W103" s="72">
        <v>2.9039999999999964</v>
      </c>
      <c r="X103" s="72">
        <v>2.9880000000000031</v>
      </c>
      <c r="Y103" s="72">
        <v>1.9790000000000001</v>
      </c>
      <c r="Z103" s="34"/>
      <c r="AA103" s="72">
        <v>0.5</v>
      </c>
      <c r="AB103" s="73">
        <v>1.48</v>
      </c>
      <c r="AC103" s="34"/>
      <c r="AD103" s="72">
        <v>2.0230000000000001</v>
      </c>
      <c r="AE103" s="73">
        <v>-0.04</v>
      </c>
    </row>
    <row r="104" spans="1:31" ht="18" customHeight="1" collapsed="1" x14ac:dyDescent="0.2">
      <c r="A104" s="30" t="s">
        <v>36</v>
      </c>
      <c r="B104" s="30" t="s">
        <v>18</v>
      </c>
      <c r="C104" s="4"/>
      <c r="D104" s="4"/>
      <c r="F104" s="97" t="s">
        <v>239</v>
      </c>
      <c r="H104" s="74">
        <v>50.25</v>
      </c>
      <c r="I104" s="74">
        <v>49.838000000000001</v>
      </c>
      <c r="J104" s="74">
        <v>49.838000000000001</v>
      </c>
      <c r="K104" s="112">
        <v>41.292999999999999</v>
      </c>
      <c r="L104" s="112">
        <v>47.201000000000001</v>
      </c>
      <c r="M104" s="74">
        <v>43.176000000000002</v>
      </c>
      <c r="N104" s="74">
        <v>42.528000000000006</v>
      </c>
      <c r="O104" s="74">
        <v>41.7</v>
      </c>
      <c r="P104" s="74">
        <v>47.004000000000005</v>
      </c>
      <c r="Q104" s="74">
        <v>45.935999999999979</v>
      </c>
      <c r="R104" s="74">
        <v>47.112000000000023</v>
      </c>
      <c r="S104" s="74">
        <v>46.619999999999948</v>
      </c>
      <c r="T104" s="74">
        <v>46.04400000000004</v>
      </c>
      <c r="U104" s="74">
        <v>40.967999999999961</v>
      </c>
      <c r="V104" s="74">
        <v>43.080000000000041</v>
      </c>
      <c r="W104" s="74">
        <v>48.840000000000032</v>
      </c>
      <c r="X104" s="74">
        <v>51.227999999999952</v>
      </c>
      <c r="Y104" s="74">
        <v>45.353000000000002</v>
      </c>
      <c r="AA104" s="74">
        <v>41.292999999999999</v>
      </c>
      <c r="AB104" s="73">
        <v>4.0599999999999996</v>
      </c>
      <c r="AD104" s="74">
        <v>47.201000000000001</v>
      </c>
      <c r="AE104" s="73">
        <v>-1.85</v>
      </c>
    </row>
    <row r="105" spans="1:31" ht="18" hidden="1" customHeight="1" outlineLevel="1" collapsed="1" x14ac:dyDescent="0.2">
      <c r="A105" s="33" t="s">
        <v>211</v>
      </c>
      <c r="B105" s="33" t="s">
        <v>18</v>
      </c>
      <c r="C105" s="4"/>
      <c r="D105" s="4"/>
      <c r="F105" s="98" t="s">
        <v>212</v>
      </c>
      <c r="G105" s="34"/>
      <c r="H105" s="75">
        <v>54.972999999999999</v>
      </c>
      <c r="I105" s="75">
        <v>53.985999999999997</v>
      </c>
      <c r="J105" s="75">
        <v>53.985999999999997</v>
      </c>
      <c r="K105" s="112">
        <v>41.292999999999999</v>
      </c>
      <c r="L105" s="112">
        <v>47.201000000000001</v>
      </c>
      <c r="M105" s="75">
        <v>45.42</v>
      </c>
      <c r="N105" s="75">
        <v>49.403999999999996</v>
      </c>
      <c r="O105" s="75">
        <v>47.748000000000005</v>
      </c>
      <c r="P105" s="75">
        <v>50.039999999999964</v>
      </c>
      <c r="Q105" s="75">
        <v>50.352000000000032</v>
      </c>
      <c r="R105" s="75">
        <v>49.572000000000003</v>
      </c>
      <c r="S105" s="75">
        <v>49.463999999999999</v>
      </c>
      <c r="T105" s="75">
        <v>48.912000000000035</v>
      </c>
      <c r="U105" s="75">
        <v>47.939999999999941</v>
      </c>
      <c r="V105" s="75">
        <v>50.976000000000056</v>
      </c>
      <c r="W105" s="75">
        <v>55.16399999999993</v>
      </c>
      <c r="X105" s="75">
        <v>54.072000000000003</v>
      </c>
      <c r="Y105" s="75">
        <v>49.921999999999997</v>
      </c>
      <c r="Z105" s="34"/>
      <c r="AA105" s="75">
        <v>41.292999999999999</v>
      </c>
      <c r="AB105" s="76">
        <v>8.6300000000000008</v>
      </c>
      <c r="AC105" s="34"/>
      <c r="AD105" s="75">
        <v>47.201000000000001</v>
      </c>
      <c r="AE105" s="76">
        <v>2.72</v>
      </c>
    </row>
    <row r="106" spans="1:31" ht="18" hidden="1" customHeight="1" outlineLevel="1" collapsed="1" x14ac:dyDescent="0.2">
      <c r="A106" s="35"/>
      <c r="B106" s="35"/>
      <c r="C106" s="4"/>
      <c r="D106" s="4"/>
      <c r="F106" s="97" t="s">
        <v>240</v>
      </c>
      <c r="H106" s="74">
        <v>4.722999999999999</v>
      </c>
      <c r="I106" s="74">
        <v>4.1479999999999961</v>
      </c>
      <c r="J106" s="74">
        <v>4.1479999999999961</v>
      </c>
      <c r="K106" s="112">
        <v>0</v>
      </c>
      <c r="L106" s="112">
        <v>0</v>
      </c>
      <c r="M106" s="74">
        <v>2.2439999999999998</v>
      </c>
      <c r="N106" s="74">
        <v>6.8759999999999906</v>
      </c>
      <c r="O106" s="74">
        <v>6.0480000000000018</v>
      </c>
      <c r="P106" s="74">
        <v>3.0359999999999587</v>
      </c>
      <c r="Q106" s="74">
        <v>4.4160000000000537</v>
      </c>
      <c r="R106" s="74">
        <v>2.4599999999999795</v>
      </c>
      <c r="S106" s="74">
        <v>2.8440000000000509</v>
      </c>
      <c r="T106" s="74">
        <v>2.867999999999995</v>
      </c>
      <c r="U106" s="74">
        <v>6.97199999999998</v>
      </c>
      <c r="V106" s="74">
        <v>7.896000000000015</v>
      </c>
      <c r="W106" s="74">
        <v>6.3239999999998986</v>
      </c>
      <c r="X106" s="74">
        <v>2.8440000000000509</v>
      </c>
      <c r="Y106" s="74">
        <v>4.5689999999999955</v>
      </c>
      <c r="AA106" s="74">
        <v>0</v>
      </c>
      <c r="AB106" s="73">
        <v>4.57</v>
      </c>
      <c r="AD106" s="74">
        <v>0</v>
      </c>
      <c r="AE106" s="73">
        <v>4.57</v>
      </c>
    </row>
    <row r="107" spans="1:31" ht="12.95" hidden="1" customHeight="1" outlineLevel="1" x14ac:dyDescent="0.2">
      <c r="A107" s="35"/>
      <c r="B107" s="35"/>
      <c r="C107" s="4"/>
      <c r="D107" s="4"/>
      <c r="F107" s="39" t="s">
        <v>37</v>
      </c>
      <c r="H107" s="68">
        <v>8.5914903679988344E-2</v>
      </c>
      <c r="I107" s="68">
        <v>7.6834734931278417E-2</v>
      </c>
      <c r="J107" s="68">
        <v>7.6834734931278417E-2</v>
      </c>
      <c r="K107" s="113">
        <v>0</v>
      </c>
      <c r="L107" s="113">
        <v>0</v>
      </c>
      <c r="M107" s="68">
        <v>4.940554821664464E-2</v>
      </c>
      <c r="N107" s="68">
        <v>0.13917901384503262</v>
      </c>
      <c r="O107" s="68">
        <v>0.12666499120382008</v>
      </c>
      <c r="P107" s="68">
        <v>6.0671462829735429E-2</v>
      </c>
      <c r="Q107" s="68">
        <v>8.7702573879886614E-2</v>
      </c>
      <c r="R107" s="68">
        <v>4.9624788186879272E-2</v>
      </c>
      <c r="S107" s="68">
        <v>5.7496360989811805E-2</v>
      </c>
      <c r="T107" s="68">
        <v>5.8635917566241272E-2</v>
      </c>
      <c r="U107" s="68">
        <v>0.14543178973717122</v>
      </c>
      <c r="V107" s="68">
        <v>0.15489642184557451</v>
      </c>
      <c r="W107" s="68">
        <v>0.1146399825973444</v>
      </c>
      <c r="X107" s="68">
        <v>5.2596537949401737E-2</v>
      </c>
      <c r="Y107" s="68">
        <v>9.1522775529826447E-2</v>
      </c>
      <c r="AA107" s="68">
        <v>0</v>
      </c>
      <c r="AB107" s="69"/>
      <c r="AD107" s="68">
        <v>0</v>
      </c>
      <c r="AE107" s="69"/>
    </row>
    <row r="108" spans="1:31" ht="18" customHeight="1" collapsed="1" x14ac:dyDescent="0.2">
      <c r="A108" s="30" t="s">
        <v>220</v>
      </c>
      <c r="B108" s="30" t="s">
        <v>18</v>
      </c>
      <c r="C108" s="4">
        <v>-4.0768137122218301E-2</v>
      </c>
      <c r="D108" s="4">
        <v>5.0428288466562755E-3</v>
      </c>
      <c r="F108" s="106" t="s">
        <v>66</v>
      </c>
      <c r="H108" s="61">
        <v>-2679.9830000000002</v>
      </c>
      <c r="I108" s="61">
        <v>-2714.7159999999999</v>
      </c>
      <c r="J108" s="61">
        <v>-2714.7159999999999</v>
      </c>
      <c r="K108" s="86">
        <v>-2360.17652</v>
      </c>
      <c r="L108" s="86">
        <v>-2468.8523799999998</v>
      </c>
      <c r="M108" s="61">
        <v>-203.982</v>
      </c>
      <c r="N108" s="61">
        <v>-197.69500000000002</v>
      </c>
      <c r="O108" s="61">
        <v>-199.55099999999993</v>
      </c>
      <c r="P108" s="61">
        <v>-208.14400000000001</v>
      </c>
      <c r="Q108" s="61">
        <v>-197.92400000000009</v>
      </c>
      <c r="R108" s="61">
        <v>-242.30099999999993</v>
      </c>
      <c r="S108" s="61">
        <v>-196.33699999999999</v>
      </c>
      <c r="T108" s="61">
        <v>-173.08300000000008</v>
      </c>
      <c r="U108" s="61">
        <v>-195.57500000000005</v>
      </c>
      <c r="V108" s="61">
        <v>-196.14599999999996</v>
      </c>
      <c r="W108" s="61">
        <v>-216.0139999999999</v>
      </c>
      <c r="X108" s="61">
        <v>-229.64699999999993</v>
      </c>
      <c r="Y108" s="61">
        <v>-2456.3989999999999</v>
      </c>
      <c r="AA108" s="61">
        <v>-2360.17652</v>
      </c>
      <c r="AB108" s="60">
        <v>-96.22</v>
      </c>
      <c r="AD108" s="61">
        <v>-2468.8523799999998</v>
      </c>
      <c r="AE108" s="60">
        <v>12.45</v>
      </c>
    </row>
    <row r="109" spans="1:31" ht="18" customHeight="1" x14ac:dyDescent="0.2">
      <c r="A109" s="30" t="s">
        <v>218</v>
      </c>
      <c r="B109" s="30" t="s">
        <v>18</v>
      </c>
      <c r="C109" s="4">
        <v>-1.0004848876676904</v>
      </c>
      <c r="D109" s="4">
        <v>-1.0004848876676904</v>
      </c>
      <c r="F109" s="104" t="s">
        <v>219</v>
      </c>
      <c r="G109" s="36"/>
      <c r="H109" s="65">
        <v>17.427</v>
      </c>
      <c r="I109" s="65">
        <v>-15.929</v>
      </c>
      <c r="J109" s="65">
        <v>-15.929</v>
      </c>
      <c r="K109" s="65">
        <v>0</v>
      </c>
      <c r="L109" s="65">
        <v>0</v>
      </c>
      <c r="M109" s="65">
        <v>-10.919</v>
      </c>
      <c r="N109" s="65">
        <v>-8.7459999999999987</v>
      </c>
      <c r="O109" s="65">
        <v>-9.1320000000000014</v>
      </c>
      <c r="P109" s="65">
        <v>-9.8339999999999996</v>
      </c>
      <c r="Q109" s="65">
        <v>23.527999999999999</v>
      </c>
      <c r="R109" s="65">
        <v>11.895000000000001</v>
      </c>
      <c r="S109" s="65">
        <v>16.391999999999999</v>
      </c>
      <c r="T109" s="65">
        <v>34.876000000000005</v>
      </c>
      <c r="U109" s="65">
        <v>-22.723000000000003</v>
      </c>
      <c r="V109" s="65">
        <v>-7.8230000000000004</v>
      </c>
      <c r="W109" s="65">
        <v>-15.513</v>
      </c>
      <c r="X109" s="65">
        <v>-8.1879999999999988</v>
      </c>
      <c r="Y109" s="65">
        <v>-6.1870000000000003</v>
      </c>
      <c r="Z109" s="36"/>
      <c r="AA109" s="65">
        <v>0</v>
      </c>
      <c r="AB109" s="60">
        <v>-6.19</v>
      </c>
      <c r="AC109" s="36"/>
      <c r="AD109" s="65">
        <v>0</v>
      </c>
      <c r="AE109" s="60">
        <v>-6.19</v>
      </c>
    </row>
    <row r="110" spans="1:31" ht="18" customHeight="1" x14ac:dyDescent="0.2">
      <c r="A110" s="30" t="s">
        <v>34</v>
      </c>
      <c r="B110" s="30" t="s">
        <v>18</v>
      </c>
      <c r="C110" s="4">
        <v>0</v>
      </c>
      <c r="D110" s="4">
        <v>0</v>
      </c>
      <c r="F110" s="106" t="s">
        <v>57</v>
      </c>
      <c r="H110" s="61">
        <v>0</v>
      </c>
      <c r="I110" s="61">
        <v>0</v>
      </c>
      <c r="J110" s="61">
        <v>0</v>
      </c>
      <c r="K110" s="86">
        <v>0</v>
      </c>
      <c r="L110" s="86">
        <v>0</v>
      </c>
      <c r="M110" s="61">
        <v>0</v>
      </c>
      <c r="N110" s="61">
        <v>0</v>
      </c>
      <c r="O110" s="61">
        <v>0</v>
      </c>
      <c r="P110" s="61">
        <v>0</v>
      </c>
      <c r="Q110" s="61">
        <v>0</v>
      </c>
      <c r="R110" s="61">
        <v>0</v>
      </c>
      <c r="S110" s="61">
        <v>0</v>
      </c>
      <c r="T110" s="61">
        <v>0</v>
      </c>
      <c r="U110" s="61">
        <v>0</v>
      </c>
      <c r="V110" s="61">
        <v>0</v>
      </c>
      <c r="W110" s="61">
        <v>0</v>
      </c>
      <c r="X110" s="61">
        <v>0</v>
      </c>
      <c r="Y110" s="61">
        <v>0</v>
      </c>
      <c r="AA110" s="61">
        <v>0</v>
      </c>
      <c r="AB110" s="60">
        <v>0</v>
      </c>
      <c r="AD110" s="61">
        <v>0</v>
      </c>
      <c r="AE110" s="60">
        <v>0</v>
      </c>
    </row>
    <row r="111" spans="1:31" ht="18" customHeight="1" x14ac:dyDescent="0.2">
      <c r="A111" s="30" t="s">
        <v>221</v>
      </c>
      <c r="B111" s="30" t="s">
        <v>18</v>
      </c>
      <c r="C111" s="4">
        <v>1.0009246417013409</v>
      </c>
      <c r="D111" s="4">
        <v>3.1634615384615383</v>
      </c>
      <c r="F111" s="106" t="s">
        <v>379</v>
      </c>
      <c r="H111" s="61">
        <v>2.5</v>
      </c>
      <c r="I111" s="61">
        <v>7.0510000000000002</v>
      </c>
      <c r="J111" s="61">
        <v>7.0510000000000002</v>
      </c>
      <c r="K111" s="86">
        <v>0</v>
      </c>
      <c r="L111" s="86">
        <v>1.04</v>
      </c>
      <c r="M111" s="61">
        <v>0.55300000000000005</v>
      </c>
      <c r="N111" s="61">
        <v>0</v>
      </c>
      <c r="O111" s="61">
        <v>2.4039999999999999</v>
      </c>
      <c r="P111" s="61">
        <v>1.2700000000000005</v>
      </c>
      <c r="Q111" s="61">
        <v>9.8999999999999311E-2</v>
      </c>
      <c r="R111" s="61">
        <v>0</v>
      </c>
      <c r="S111" s="61">
        <v>0</v>
      </c>
      <c r="T111" s="61">
        <v>0</v>
      </c>
      <c r="U111" s="61">
        <v>0</v>
      </c>
      <c r="V111" s="61">
        <v>0</v>
      </c>
      <c r="W111" s="61">
        <v>0</v>
      </c>
      <c r="X111" s="61">
        <v>0</v>
      </c>
      <c r="Y111" s="61">
        <v>4.3259999999999996</v>
      </c>
      <c r="AA111" s="61">
        <v>0</v>
      </c>
      <c r="AB111" s="60">
        <v>4.33</v>
      </c>
      <c r="AD111" s="61">
        <v>1.04</v>
      </c>
      <c r="AE111" s="60">
        <v>3.29</v>
      </c>
    </row>
    <row r="112" spans="1:31" ht="18" customHeight="1" x14ac:dyDescent="0.2">
      <c r="A112" s="30" t="s">
        <v>430</v>
      </c>
      <c r="B112" s="30" t="s">
        <v>18</v>
      </c>
      <c r="C112" s="4">
        <v>0</v>
      </c>
      <c r="D112" s="4">
        <v>0</v>
      </c>
      <c r="F112" s="106" t="s">
        <v>431</v>
      </c>
      <c r="H112" s="61">
        <v>-0.63100000000000001</v>
      </c>
      <c r="I112" s="61">
        <v>-6.9000000000000006E-2</v>
      </c>
      <c r="J112" s="61">
        <v>-6.9000000000000006E-2</v>
      </c>
      <c r="K112" s="86">
        <v>0</v>
      </c>
      <c r="L112" s="86">
        <v>0</v>
      </c>
      <c r="M112" s="61">
        <v>0</v>
      </c>
      <c r="N112" s="61">
        <v>0</v>
      </c>
      <c r="O112" s="61">
        <v>0</v>
      </c>
      <c r="P112" s="61">
        <v>0</v>
      </c>
      <c r="Q112" s="61">
        <v>0</v>
      </c>
      <c r="R112" s="61">
        <v>0</v>
      </c>
      <c r="S112" s="61">
        <v>0</v>
      </c>
      <c r="T112" s="61">
        <v>0</v>
      </c>
      <c r="U112" s="61">
        <v>0</v>
      </c>
      <c r="V112" s="61">
        <v>0</v>
      </c>
      <c r="W112" s="61">
        <v>0</v>
      </c>
      <c r="X112" s="61">
        <v>0</v>
      </c>
      <c r="Y112" s="61">
        <v>0</v>
      </c>
      <c r="AA112" s="61">
        <v>0</v>
      </c>
      <c r="AB112" s="60">
        <v>0</v>
      </c>
      <c r="AD112" s="61">
        <v>0</v>
      </c>
      <c r="AE112" s="60">
        <v>0</v>
      </c>
    </row>
    <row r="113" spans="1:31" ht="18" customHeight="1" x14ac:dyDescent="0.2">
      <c r="A113" s="30" t="s">
        <v>35</v>
      </c>
      <c r="B113" s="30" t="s">
        <v>18</v>
      </c>
      <c r="C113" s="4">
        <v>-1.0001344266702514</v>
      </c>
      <c r="D113" s="4">
        <v>-9.4117647058823528E-2</v>
      </c>
      <c r="F113" s="106" t="s">
        <v>67</v>
      </c>
      <c r="H113" s="61">
        <v>0</v>
      </c>
      <c r="I113" s="61">
        <v>-4.8860000000000001</v>
      </c>
      <c r="J113" s="61">
        <v>-4.8860000000000001</v>
      </c>
      <c r="K113" s="86">
        <v>0</v>
      </c>
      <c r="L113" s="86">
        <v>-6.8</v>
      </c>
      <c r="M113" s="61">
        <v>-0.51100000000000001</v>
      </c>
      <c r="N113" s="61">
        <v>-0.76300000000000001</v>
      </c>
      <c r="O113" s="61">
        <v>-0.65700000000000003</v>
      </c>
      <c r="P113" s="61">
        <v>-0.57399999999999984</v>
      </c>
      <c r="Q113" s="61">
        <v>3.8999999999999702E-2</v>
      </c>
      <c r="R113" s="61">
        <v>-1.1219999999999999</v>
      </c>
      <c r="S113" s="61">
        <v>-0.67900000000000027</v>
      </c>
      <c r="T113" s="61">
        <v>-0.67999999999999972</v>
      </c>
      <c r="U113" s="61">
        <v>-0.2759999999999998</v>
      </c>
      <c r="V113" s="61">
        <v>-0.50999999999999979</v>
      </c>
      <c r="W113" s="61">
        <v>-0.5470000000000006</v>
      </c>
      <c r="X113" s="61">
        <v>-1.1589999999999998</v>
      </c>
      <c r="Y113" s="61">
        <v>-7.4390000000000001</v>
      </c>
      <c r="AA113" s="61">
        <v>0</v>
      </c>
      <c r="AB113" s="60">
        <v>-7.44</v>
      </c>
      <c r="AD113" s="61">
        <v>-6.8</v>
      </c>
      <c r="AE113" s="60">
        <v>-0.64</v>
      </c>
    </row>
    <row r="114" spans="1:31" ht="18" hidden="1" customHeight="1" outlineLevel="1" collapsed="1" x14ac:dyDescent="0.2">
      <c r="A114" s="35"/>
      <c r="B114" s="35"/>
      <c r="C114" s="4"/>
      <c r="D114" s="4"/>
      <c r="F114" s="97" t="s">
        <v>453</v>
      </c>
      <c r="H114" s="74">
        <v>0.90972727272727272</v>
      </c>
      <c r="I114" s="74">
        <v>0.80693181818181825</v>
      </c>
      <c r="J114" s="74">
        <v>0.80693181818181825</v>
      </c>
      <c r="K114" s="112">
        <v>0.45454545454545453</v>
      </c>
      <c r="L114" s="112">
        <v>0</v>
      </c>
      <c r="M114" s="74">
        <v>2.7545454545454547E-2</v>
      </c>
      <c r="N114" s="74">
        <v>0</v>
      </c>
      <c r="O114" s="74">
        <v>0</v>
      </c>
      <c r="P114" s="74">
        <v>0</v>
      </c>
      <c r="Q114" s="74">
        <v>0</v>
      </c>
      <c r="R114" s="74">
        <v>0.24409090909090908</v>
      </c>
      <c r="S114" s="74">
        <v>-0.24409090909090908</v>
      </c>
      <c r="T114" s="74">
        <v>7.5697024406260668E-18</v>
      </c>
      <c r="U114" s="74">
        <v>0</v>
      </c>
      <c r="V114" s="74">
        <v>1.1454545454545455</v>
      </c>
      <c r="W114" s="74">
        <v>-0.873</v>
      </c>
      <c r="X114" s="74">
        <v>-0.10581818181818212</v>
      </c>
      <c r="Y114" s="74">
        <v>1.6181818181818158E-2</v>
      </c>
      <c r="AA114" s="74">
        <v>0.45454545454545453</v>
      </c>
      <c r="AB114" s="73">
        <v>-0.44</v>
      </c>
      <c r="AD114" s="74">
        <v>0</v>
      </c>
      <c r="AE114" s="73">
        <v>0.02</v>
      </c>
    </row>
    <row r="115" spans="1:31" ht="18" customHeight="1" collapsed="1" x14ac:dyDescent="0.2">
      <c r="A115" s="30" t="s">
        <v>20</v>
      </c>
      <c r="B115" s="30" t="s">
        <v>18</v>
      </c>
      <c r="C115" s="4">
        <v>0.96449999999999991</v>
      </c>
      <c r="D115" s="4">
        <v>-0.99719101123595644</v>
      </c>
      <c r="F115" s="106" t="s">
        <v>68</v>
      </c>
      <c r="H115" s="61">
        <v>-40.027999999999999</v>
      </c>
      <c r="I115" s="61">
        <v>-35.505000000000003</v>
      </c>
      <c r="J115" s="61">
        <v>-35.505000000000003</v>
      </c>
      <c r="K115" s="86">
        <v>-20</v>
      </c>
      <c r="L115" s="86">
        <v>0</v>
      </c>
      <c r="M115" s="61">
        <v>-0.10100000000000001</v>
      </c>
      <c r="N115" s="61">
        <v>0</v>
      </c>
      <c r="O115" s="61">
        <v>0</v>
      </c>
      <c r="P115" s="61">
        <v>0</v>
      </c>
      <c r="Q115" s="61">
        <v>0</v>
      </c>
      <c r="R115" s="61">
        <v>-0.89500000000000002</v>
      </c>
      <c r="S115" s="61">
        <v>0.89500000000000002</v>
      </c>
      <c r="T115" s="61">
        <v>-2.7755575615628914E-17</v>
      </c>
      <c r="U115" s="61">
        <v>0</v>
      </c>
      <c r="V115" s="61">
        <v>-4.2</v>
      </c>
      <c r="W115" s="61">
        <v>3.2010000000000001</v>
      </c>
      <c r="X115" s="61">
        <v>0.38800000000000112</v>
      </c>
      <c r="Y115" s="61">
        <v>-0.71199999999999897</v>
      </c>
      <c r="AA115" s="61">
        <v>-20</v>
      </c>
      <c r="AB115" s="60">
        <v>19.29</v>
      </c>
      <c r="AD115" s="61">
        <v>0</v>
      </c>
      <c r="AE115" s="60">
        <v>-0.71</v>
      </c>
    </row>
    <row r="116" spans="1:31" ht="18" customHeight="1" x14ac:dyDescent="0.2">
      <c r="A116" s="35"/>
      <c r="B116" s="35"/>
      <c r="C116" s="4">
        <v>-3.6228405446164139E-2</v>
      </c>
      <c r="D116" s="4">
        <v>3.3136502776244898E-3</v>
      </c>
      <c r="F116" s="95" t="s">
        <v>275</v>
      </c>
      <c r="H116" s="198">
        <v>-2700.7149999999997</v>
      </c>
      <c r="I116" s="198">
        <v>-2764.0540000000001</v>
      </c>
      <c r="J116" s="198">
        <v>-2764.0540000000001</v>
      </c>
      <c r="K116" s="89">
        <v>-2380.17652</v>
      </c>
      <c r="L116" s="89">
        <v>-2474.61238</v>
      </c>
      <c r="M116" s="64">
        <v>-214.96</v>
      </c>
      <c r="N116" s="64">
        <v>-207.20400000000004</v>
      </c>
      <c r="O116" s="64">
        <v>-206.93599999999995</v>
      </c>
      <c r="P116" s="64">
        <v>-217.28200000000001</v>
      </c>
      <c r="Q116" s="64">
        <v>-174.25800000000012</v>
      </c>
      <c r="R116" s="64">
        <v>-232.42299999999992</v>
      </c>
      <c r="S116" s="64">
        <v>-179.72899999999998</v>
      </c>
      <c r="T116" s="64">
        <v>-138.88700000000009</v>
      </c>
      <c r="U116" s="64">
        <v>-218.57400000000007</v>
      </c>
      <c r="V116" s="64">
        <v>-208.67899999999995</v>
      </c>
      <c r="W116" s="64">
        <v>-228.87299999999991</v>
      </c>
      <c r="X116" s="64">
        <v>-238.60599999999991</v>
      </c>
      <c r="Y116" s="64">
        <v>-2466.4109999999996</v>
      </c>
      <c r="AA116" s="64">
        <v>-2380.17652</v>
      </c>
      <c r="AB116" s="60">
        <v>-86.23</v>
      </c>
      <c r="AD116" s="64">
        <v>-2474.61238</v>
      </c>
      <c r="AE116" s="60">
        <v>8.1999999999999993</v>
      </c>
    </row>
    <row r="117" spans="1:31" ht="12.95" customHeight="1" x14ac:dyDescent="0.2">
      <c r="A117" s="35"/>
      <c r="B117" s="35"/>
      <c r="C117" s="4"/>
      <c r="D117" s="4"/>
      <c r="F117" s="39" t="s">
        <v>223</v>
      </c>
      <c r="H117" s="56">
        <v>0.39951440785302467</v>
      </c>
      <c r="I117" s="56">
        <v>0.3997925285096115</v>
      </c>
      <c r="J117" s="56">
        <v>0.3997925285096115</v>
      </c>
      <c r="K117" s="109">
        <v>0.40312690137300261</v>
      </c>
      <c r="L117" s="109">
        <v>0.40079192369281275</v>
      </c>
      <c r="M117" s="56">
        <v>0.39199953316021358</v>
      </c>
      <c r="N117" s="56">
        <v>0.43519189449740731</v>
      </c>
      <c r="O117" s="56">
        <v>0.41710624179890865</v>
      </c>
      <c r="P117" s="56">
        <v>0.42235867889722789</v>
      </c>
      <c r="Q117" s="56">
        <v>0.31409779213358607</v>
      </c>
      <c r="R117" s="56">
        <v>0.42248434017893821</v>
      </c>
      <c r="S117" s="56">
        <v>0.37081762719138056</v>
      </c>
      <c r="T117" s="56">
        <v>0.27323071959458167</v>
      </c>
      <c r="U117" s="56">
        <v>0.429007160129385</v>
      </c>
      <c r="V117" s="56">
        <v>0.41708772715280479</v>
      </c>
      <c r="W117" s="56">
        <v>0.42852328322383382</v>
      </c>
      <c r="X117" s="56">
        <v>0.43397111782037728</v>
      </c>
      <c r="Y117" s="56">
        <v>0.39610179372413357</v>
      </c>
      <c r="AA117" s="56">
        <v>0.40312690137300261</v>
      </c>
      <c r="AB117" s="57"/>
      <c r="AD117" s="56">
        <v>0.40079192369281275</v>
      </c>
      <c r="AE117" s="57"/>
    </row>
    <row r="118" spans="1:31" ht="6.95" customHeight="1" x14ac:dyDescent="0.2">
      <c r="C118" s="4"/>
      <c r="D118" s="4"/>
      <c r="F118" s="99"/>
      <c r="H118" s="16"/>
      <c r="I118" s="16"/>
      <c r="J118" s="16"/>
      <c r="K118" s="85"/>
      <c r="L118" s="85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AA118" s="16"/>
      <c r="AB118" s="20"/>
      <c r="AD118" s="16"/>
      <c r="AE118" s="20"/>
    </row>
    <row r="119" spans="1:31" ht="18" customHeight="1" x14ac:dyDescent="0.2">
      <c r="A119" s="30" t="s">
        <v>70</v>
      </c>
      <c r="B119" s="30" t="s">
        <v>18</v>
      </c>
      <c r="C119" s="4"/>
      <c r="D119" s="4"/>
      <c r="F119" s="97" t="s">
        <v>225</v>
      </c>
      <c r="H119" s="74">
        <v>52.011000000000003</v>
      </c>
      <c r="I119" s="74">
        <v>55.098999999999997</v>
      </c>
      <c r="J119" s="74">
        <v>55.098999999999997</v>
      </c>
      <c r="K119" s="112">
        <v>50</v>
      </c>
      <c r="L119" s="112">
        <v>50</v>
      </c>
      <c r="M119" s="74">
        <v>49.116</v>
      </c>
      <c r="N119" s="74">
        <v>48.096000000000018</v>
      </c>
      <c r="O119" s="74">
        <v>50.171999999999997</v>
      </c>
      <c r="P119" s="74">
        <v>50.051999999999964</v>
      </c>
      <c r="Q119" s="74">
        <v>51.012000000000029</v>
      </c>
      <c r="R119" s="74">
        <v>49.99199999999999</v>
      </c>
      <c r="S119" s="74">
        <v>49.007999999999981</v>
      </c>
      <c r="T119" s="74">
        <v>48</v>
      </c>
      <c r="U119" s="74">
        <v>45</v>
      </c>
      <c r="V119" s="74">
        <v>48.468000000000075</v>
      </c>
      <c r="W119" s="74">
        <v>49.007999999999925</v>
      </c>
      <c r="X119" s="74">
        <v>47.172000000000025</v>
      </c>
      <c r="Y119" s="74">
        <v>48.758000000000003</v>
      </c>
      <c r="AA119" s="74">
        <v>50</v>
      </c>
      <c r="AB119" s="73">
        <v>-1.24</v>
      </c>
      <c r="AD119" s="74">
        <v>50</v>
      </c>
      <c r="AE119" s="73">
        <v>-1.24</v>
      </c>
    </row>
    <row r="120" spans="1:31" ht="12.95" customHeight="1" x14ac:dyDescent="0.2">
      <c r="A120" s="35"/>
      <c r="B120" s="35"/>
      <c r="C120" s="4"/>
      <c r="D120" s="4"/>
      <c r="F120" s="39" t="s">
        <v>71</v>
      </c>
      <c r="H120" s="132">
        <v>-7560.2660975562858</v>
      </c>
      <c r="I120" s="132">
        <v>-7068.313399517232</v>
      </c>
      <c r="J120" s="132">
        <v>-7068.313399517232</v>
      </c>
      <c r="K120" s="133">
        <v>-6328.0000000000009</v>
      </c>
      <c r="L120" s="133">
        <v>-8340</v>
      </c>
      <c r="M120" s="132">
        <v>-834.49385129082168</v>
      </c>
      <c r="N120" s="132">
        <v>-642.19477711244144</v>
      </c>
      <c r="O120" s="132">
        <v>-640.21765127959839</v>
      </c>
      <c r="P120" s="132">
        <v>-902.32158555102774</v>
      </c>
      <c r="Q120" s="132">
        <v>-669.80318356465102</v>
      </c>
      <c r="R120" s="132">
        <v>-686.60985757721232</v>
      </c>
      <c r="S120" s="132">
        <v>-545.11508325171417</v>
      </c>
      <c r="T120" s="132">
        <v>-748.54166666666697</v>
      </c>
      <c r="U120" s="132">
        <v>-644.84444444444421</v>
      </c>
      <c r="V120" s="132">
        <v>-719.89766443839119</v>
      </c>
      <c r="W120" s="132">
        <v>-775.83251714005996</v>
      </c>
      <c r="X120" s="132">
        <v>-557.64012549817608</v>
      </c>
      <c r="Y120" s="132">
        <v>-8378.7891217851393</v>
      </c>
      <c r="AA120" s="132">
        <v>-6328.0000000000009</v>
      </c>
      <c r="AB120" s="134">
        <v>-2050.79</v>
      </c>
      <c r="AD120" s="132">
        <v>-8340</v>
      </c>
      <c r="AE120" s="134">
        <v>-38.79</v>
      </c>
    </row>
    <row r="121" spans="1:31" ht="18" customHeight="1" x14ac:dyDescent="0.2">
      <c r="A121" s="30" t="s">
        <v>63</v>
      </c>
      <c r="B121" s="30" t="s">
        <v>18</v>
      </c>
      <c r="C121" s="4">
        <v>-0.2494517543859649</v>
      </c>
      <c r="D121" s="4">
        <v>0.12488479262672814</v>
      </c>
      <c r="F121" s="106" t="s">
        <v>401</v>
      </c>
      <c r="H121" s="61">
        <v>-99.736000000000004</v>
      </c>
      <c r="I121" s="61">
        <v>-109.02500000000001</v>
      </c>
      <c r="J121" s="61">
        <v>-109.02500000000001</v>
      </c>
      <c r="K121" s="86">
        <v>-91.2</v>
      </c>
      <c r="L121" s="86">
        <v>-130.19999999999999</v>
      </c>
      <c r="M121" s="61">
        <v>-10.412000000000001</v>
      </c>
      <c r="N121" s="61">
        <v>-10.139999999999999</v>
      </c>
      <c r="O121" s="61">
        <v>-8.0060000000000002</v>
      </c>
      <c r="P121" s="61">
        <v>-8.7700000000000031</v>
      </c>
      <c r="Q121" s="61">
        <v>-12.052999999999997</v>
      </c>
      <c r="R121" s="61">
        <v>-9.7580000000000027</v>
      </c>
      <c r="S121" s="61">
        <v>-9.5889999999999915</v>
      </c>
      <c r="T121" s="61">
        <v>-9.9100000000000108</v>
      </c>
      <c r="U121" s="61">
        <v>-9.1019999999999897</v>
      </c>
      <c r="V121" s="61">
        <v>-9.2750000000000057</v>
      </c>
      <c r="W121" s="61">
        <v>-8.5630000000000024</v>
      </c>
      <c r="X121" s="61">
        <v>-8.3669999999999902</v>
      </c>
      <c r="Y121" s="61">
        <v>-113.94499999999999</v>
      </c>
      <c r="AA121" s="61">
        <v>-91.2</v>
      </c>
      <c r="AB121" s="60">
        <v>-22.75</v>
      </c>
      <c r="AD121" s="61">
        <v>-130.19999999999999</v>
      </c>
      <c r="AE121" s="60">
        <v>16.260000000000002</v>
      </c>
    </row>
    <row r="122" spans="1:31" ht="18" customHeight="1" x14ac:dyDescent="0.2">
      <c r="A122" s="30" t="s">
        <v>148</v>
      </c>
      <c r="B122" s="30" t="s">
        <v>18</v>
      </c>
      <c r="C122" s="4">
        <v>-1</v>
      </c>
      <c r="D122" s="4">
        <v>-2.2458333333333331</v>
      </c>
      <c r="F122" s="106" t="s">
        <v>149</v>
      </c>
      <c r="H122" s="61">
        <v>-2.0179999999999998</v>
      </c>
      <c r="I122" s="61">
        <v>0.91700000000000004</v>
      </c>
      <c r="J122" s="61">
        <v>0.91700000000000004</v>
      </c>
      <c r="K122" s="86">
        <v>0</v>
      </c>
      <c r="L122" s="86">
        <v>-2.4</v>
      </c>
      <c r="M122" s="61">
        <v>0</v>
      </c>
      <c r="N122" s="61">
        <v>0</v>
      </c>
      <c r="O122" s="61">
        <v>-0.246</v>
      </c>
      <c r="P122" s="61">
        <v>0</v>
      </c>
      <c r="Q122" s="61">
        <v>-0.246</v>
      </c>
      <c r="R122" s="61">
        <v>0</v>
      </c>
      <c r="S122" s="61">
        <v>0</v>
      </c>
      <c r="T122" s="61">
        <v>0</v>
      </c>
      <c r="U122" s="61">
        <v>0</v>
      </c>
      <c r="V122" s="61">
        <v>0</v>
      </c>
      <c r="W122" s="61">
        <v>-3.649</v>
      </c>
      <c r="X122" s="61">
        <v>-3.649</v>
      </c>
      <c r="Y122" s="61">
        <v>-7.79</v>
      </c>
      <c r="AA122" s="61">
        <v>0</v>
      </c>
      <c r="AB122" s="60">
        <v>-7.79</v>
      </c>
      <c r="AD122" s="61">
        <v>-2.4</v>
      </c>
      <c r="AE122" s="60">
        <v>-5.39</v>
      </c>
    </row>
    <row r="123" spans="1:31" ht="18" customHeight="1" x14ac:dyDescent="0.2">
      <c r="A123" s="30" t="s">
        <v>64</v>
      </c>
      <c r="B123" s="30" t="s">
        <v>18</v>
      </c>
      <c r="C123" s="4">
        <v>-0.13480982185844972</v>
      </c>
      <c r="D123" s="4">
        <v>1.6687526074259496E-2</v>
      </c>
      <c r="F123" s="106" t="s">
        <v>202</v>
      </c>
      <c r="H123" s="61">
        <v>-107.405</v>
      </c>
      <c r="I123" s="61">
        <v>-146.70699999999999</v>
      </c>
      <c r="J123" s="61">
        <v>-146.70699999999999</v>
      </c>
      <c r="K123" s="86">
        <v>-103.85</v>
      </c>
      <c r="L123" s="86">
        <v>-119.85</v>
      </c>
      <c r="M123" s="61">
        <v>-12.750999999999999</v>
      </c>
      <c r="N123" s="61">
        <v>-11.078999999999999</v>
      </c>
      <c r="O123" s="61">
        <v>-9.2390000000000043</v>
      </c>
      <c r="P123" s="61">
        <v>-11.658999999999999</v>
      </c>
      <c r="Q123" s="61">
        <v>-7.0940000000000012</v>
      </c>
      <c r="R123" s="61">
        <v>-11.288999999999994</v>
      </c>
      <c r="S123" s="61">
        <v>-9.7290000000000063</v>
      </c>
      <c r="T123" s="61">
        <v>-4.8430000000000035</v>
      </c>
      <c r="U123" s="61">
        <v>-8.9039999999999964</v>
      </c>
      <c r="V123" s="61">
        <v>-10.198999999999998</v>
      </c>
      <c r="W123" s="61">
        <v>-9.9260000000000019</v>
      </c>
      <c r="X123" s="61">
        <v>-11.137999999999991</v>
      </c>
      <c r="Y123" s="61">
        <v>-117.85</v>
      </c>
      <c r="AA123" s="61">
        <v>-103.84999999999998</v>
      </c>
      <c r="AB123" s="60">
        <v>-14</v>
      </c>
      <c r="AD123" s="61">
        <v>-119.84999999999998</v>
      </c>
      <c r="AE123" s="60">
        <v>2</v>
      </c>
    </row>
    <row r="124" spans="1:31" ht="18" hidden="1" customHeight="1" outlineLevel="1" x14ac:dyDescent="0.2">
      <c r="A124" s="30" t="s">
        <v>150</v>
      </c>
      <c r="B124" s="30" t="s">
        <v>18</v>
      </c>
      <c r="C124" s="4">
        <v>-13.557692307692307</v>
      </c>
      <c r="D124" s="4">
        <v>-0.50796812749003972</v>
      </c>
      <c r="F124" s="38" t="s">
        <v>151</v>
      </c>
      <c r="G124" s="34"/>
      <c r="H124" s="66">
        <v>-57.619</v>
      </c>
      <c r="I124" s="66">
        <v>-48.131999999999998</v>
      </c>
      <c r="J124" s="66">
        <v>-48.131999999999998</v>
      </c>
      <c r="K124" s="86">
        <v>-2.6</v>
      </c>
      <c r="L124" s="86">
        <v>-25.1</v>
      </c>
      <c r="M124" s="66">
        <v>-9.9350000000000005</v>
      </c>
      <c r="N124" s="66">
        <v>-2.4649999999999999</v>
      </c>
      <c r="O124" s="66">
        <v>-2.4109999999999996</v>
      </c>
      <c r="P124" s="66">
        <v>-1.9480000000000004</v>
      </c>
      <c r="Q124" s="66">
        <v>-1.0899999999999999</v>
      </c>
      <c r="R124" s="66">
        <v>-2.7899999999999991</v>
      </c>
      <c r="S124" s="66">
        <v>-1.0790000000000006</v>
      </c>
      <c r="T124" s="66">
        <v>-0.28399999999999892</v>
      </c>
      <c r="U124" s="66">
        <v>-0.4930000000000021</v>
      </c>
      <c r="V124" s="66">
        <v>-10.470000000000002</v>
      </c>
      <c r="W124" s="66">
        <v>-4.2809999999999988</v>
      </c>
      <c r="X124" s="66">
        <v>-0.60499999999999687</v>
      </c>
      <c r="Y124" s="66">
        <v>-37.850999999999999</v>
      </c>
      <c r="Z124" s="34"/>
      <c r="AA124" s="66">
        <v>-2.6</v>
      </c>
      <c r="AB124" s="60">
        <v>-35.25</v>
      </c>
      <c r="AC124" s="34"/>
      <c r="AD124" s="66">
        <v>-25.100000000000005</v>
      </c>
      <c r="AE124" s="60">
        <v>-12.75</v>
      </c>
    </row>
    <row r="125" spans="1:31" ht="18" hidden="1" customHeight="1" outlineLevel="1" x14ac:dyDescent="0.2">
      <c r="A125" s="30" t="s">
        <v>168</v>
      </c>
      <c r="B125" s="30" t="s">
        <v>18</v>
      </c>
      <c r="C125" s="4">
        <v>0.32736982643524698</v>
      </c>
      <c r="D125" s="4">
        <v>0.32736982643524698</v>
      </c>
      <c r="F125" s="38" t="s">
        <v>169</v>
      </c>
      <c r="G125" s="34"/>
      <c r="H125" s="66">
        <v>-24.690999999999999</v>
      </c>
      <c r="I125" s="66">
        <v>-27.81</v>
      </c>
      <c r="J125" s="66">
        <v>-27.81</v>
      </c>
      <c r="K125" s="86">
        <v>-37.450000000000003</v>
      </c>
      <c r="L125" s="86">
        <v>-37.450000000000003</v>
      </c>
      <c r="M125" s="66">
        <v>-2.11</v>
      </c>
      <c r="N125" s="66">
        <v>-2.1810000000000005</v>
      </c>
      <c r="O125" s="66">
        <v>-1.7349999999999994</v>
      </c>
      <c r="P125" s="66">
        <v>-2.7650000000000006</v>
      </c>
      <c r="Q125" s="66">
        <v>-2.4350000000000005</v>
      </c>
      <c r="R125" s="66">
        <v>-2.0129999999999999</v>
      </c>
      <c r="S125" s="66">
        <v>-2.1229999999999993</v>
      </c>
      <c r="T125" s="66">
        <v>-2.0950000000000006</v>
      </c>
      <c r="U125" s="66">
        <v>-1.9130000000000003</v>
      </c>
      <c r="V125" s="66">
        <v>-2.0539999999999985</v>
      </c>
      <c r="W125" s="66">
        <v>-2.6840000000000011</v>
      </c>
      <c r="X125" s="66">
        <v>-1.0779999999999994</v>
      </c>
      <c r="Y125" s="66">
        <v>-25.186</v>
      </c>
      <c r="Z125" s="34"/>
      <c r="AA125" s="66">
        <v>-37.450000000000003</v>
      </c>
      <c r="AB125" s="60">
        <v>12.26</v>
      </c>
      <c r="AC125" s="34"/>
      <c r="AD125" s="66">
        <v>-37.450000000000003</v>
      </c>
      <c r="AE125" s="60">
        <v>12.26</v>
      </c>
    </row>
    <row r="126" spans="1:31" ht="18" hidden="1" customHeight="1" outlineLevel="1" x14ac:dyDescent="0.2">
      <c r="A126" s="30" t="s">
        <v>170</v>
      </c>
      <c r="B126" s="30" t="s">
        <v>18</v>
      </c>
      <c r="C126" s="4">
        <v>2.7272727272727268E-2</v>
      </c>
      <c r="D126" s="4">
        <v>2.7272727272727268E-2</v>
      </c>
      <c r="F126" s="38" t="s">
        <v>171</v>
      </c>
      <c r="G126" s="34"/>
      <c r="H126" s="66">
        <v>-7.2110000000000003</v>
      </c>
      <c r="I126" s="66">
        <v>-9.5879999999999992</v>
      </c>
      <c r="J126" s="66">
        <v>-9.5879999999999992</v>
      </c>
      <c r="K126" s="86">
        <v>-8.8000000000000007</v>
      </c>
      <c r="L126" s="86">
        <v>-8.8000000000000007</v>
      </c>
      <c r="M126" s="66">
        <v>-0.73499999999999999</v>
      </c>
      <c r="N126" s="66">
        <v>-0.6110000000000001</v>
      </c>
      <c r="O126" s="66">
        <v>-0.31399999999999983</v>
      </c>
      <c r="P126" s="66">
        <v>-0.31800000000000006</v>
      </c>
      <c r="Q126" s="66">
        <v>-0.66200000000000014</v>
      </c>
      <c r="R126" s="66">
        <v>-0.37699999999999978</v>
      </c>
      <c r="S126" s="66">
        <v>-0.35200000000000031</v>
      </c>
      <c r="T126" s="66">
        <v>0</v>
      </c>
      <c r="U126" s="66">
        <v>-1.8359999999999999</v>
      </c>
      <c r="V126" s="66">
        <v>-0.92799999999999994</v>
      </c>
      <c r="W126" s="66">
        <v>-1.6719999999999997</v>
      </c>
      <c r="X126" s="66">
        <v>-0.75300000000000011</v>
      </c>
      <c r="Y126" s="66">
        <v>-8.5579999999999998</v>
      </c>
      <c r="Z126" s="34"/>
      <c r="AA126" s="66">
        <v>-8.8000000000000007</v>
      </c>
      <c r="AB126" s="60">
        <v>0.24</v>
      </c>
      <c r="AC126" s="34"/>
      <c r="AD126" s="66">
        <v>-8.8000000000000007</v>
      </c>
      <c r="AE126" s="60">
        <v>0.24</v>
      </c>
    </row>
    <row r="127" spans="1:31" ht="18" customHeight="1" collapsed="1" x14ac:dyDescent="0.2">
      <c r="A127" s="35"/>
      <c r="B127" s="35"/>
      <c r="C127" s="4">
        <v>-0.46571136131013302</v>
      </c>
      <c r="D127" s="4">
        <v>-3.3637000700770842E-3</v>
      </c>
      <c r="F127" s="106" t="s">
        <v>151</v>
      </c>
      <c r="H127" s="61">
        <v>-89.521000000000001</v>
      </c>
      <c r="I127" s="61">
        <v>-85.529999999999987</v>
      </c>
      <c r="J127" s="61">
        <v>-85.529999999999987</v>
      </c>
      <c r="K127" s="86">
        <v>-48.850000000000009</v>
      </c>
      <c r="L127" s="86">
        <v>-71.350000000000009</v>
      </c>
      <c r="M127" s="61">
        <v>-12.78</v>
      </c>
      <c r="N127" s="61">
        <v>-5.2570000000000006</v>
      </c>
      <c r="O127" s="61">
        <v>-4.4599999999999991</v>
      </c>
      <c r="P127" s="61">
        <v>-5.0310000000000006</v>
      </c>
      <c r="Q127" s="61">
        <v>-4.1870000000000003</v>
      </c>
      <c r="R127" s="61">
        <v>-5.1799999999999988</v>
      </c>
      <c r="S127" s="61">
        <v>-3.5540000000000003</v>
      </c>
      <c r="T127" s="61">
        <v>-2.3789999999999996</v>
      </c>
      <c r="U127" s="61">
        <v>-4.2420000000000027</v>
      </c>
      <c r="V127" s="61">
        <v>-13.452000000000002</v>
      </c>
      <c r="W127" s="61">
        <v>-8.6370000000000005</v>
      </c>
      <c r="X127" s="61">
        <v>-2.4359999999999964</v>
      </c>
      <c r="Y127" s="61">
        <v>-71.594999999999999</v>
      </c>
      <c r="AA127" s="61">
        <v>-48.85</v>
      </c>
      <c r="AB127" s="60">
        <v>-22.75</v>
      </c>
      <c r="AD127" s="61">
        <v>-71.350000000000009</v>
      </c>
      <c r="AE127" s="60">
        <v>-0.24</v>
      </c>
    </row>
    <row r="128" spans="1:31" ht="18" customHeight="1" collapsed="1" x14ac:dyDescent="0.2">
      <c r="A128" s="30" t="s">
        <v>146</v>
      </c>
      <c r="B128" s="30" t="s">
        <v>18</v>
      </c>
      <c r="C128" s="4">
        <v>0.38242280285035629</v>
      </c>
      <c r="D128" s="4">
        <v>0.19003115264797507</v>
      </c>
      <c r="F128" s="106" t="s">
        <v>147</v>
      </c>
      <c r="H128" s="61">
        <v>-20.744</v>
      </c>
      <c r="I128" s="61">
        <v>-22.971</v>
      </c>
      <c r="J128" s="61">
        <v>-22.971</v>
      </c>
      <c r="K128" s="86">
        <v>-21.05</v>
      </c>
      <c r="L128" s="86">
        <v>-16.05</v>
      </c>
      <c r="M128" s="61">
        <v>-0.83</v>
      </c>
      <c r="N128" s="61">
        <v>-0.83100000000000007</v>
      </c>
      <c r="O128" s="61">
        <v>-0.83000000000000007</v>
      </c>
      <c r="P128" s="61">
        <v>-0.83099999999999996</v>
      </c>
      <c r="Q128" s="61">
        <v>-0.83000000000000007</v>
      </c>
      <c r="R128" s="61">
        <v>-0.34799999999999986</v>
      </c>
      <c r="S128" s="61">
        <v>-0.75</v>
      </c>
      <c r="T128" s="61">
        <v>-2.75</v>
      </c>
      <c r="U128" s="61">
        <v>-0.75</v>
      </c>
      <c r="V128" s="61">
        <v>3.5999999999999588E-2</v>
      </c>
      <c r="W128" s="61">
        <v>-5.4339999999999993</v>
      </c>
      <c r="X128" s="61">
        <v>1.1500000000000004</v>
      </c>
      <c r="Y128" s="61">
        <v>-12.997999999999999</v>
      </c>
      <c r="AA128" s="61">
        <v>-21.05</v>
      </c>
      <c r="AB128" s="60">
        <v>8.0500000000000007</v>
      </c>
      <c r="AD128" s="61">
        <v>-16.05</v>
      </c>
      <c r="AE128" s="60">
        <v>3.05</v>
      </c>
    </row>
    <row r="129" spans="1:31" ht="18" hidden="1" customHeight="1" outlineLevel="1" x14ac:dyDescent="0.2">
      <c r="A129" s="30" t="s">
        <v>154</v>
      </c>
      <c r="B129" s="30" t="s">
        <v>18</v>
      </c>
      <c r="C129" s="4">
        <v>-0.23234624145785876</v>
      </c>
      <c r="D129" s="4">
        <v>-3.7105751391465682E-3</v>
      </c>
      <c r="F129" s="38" t="s">
        <v>155</v>
      </c>
      <c r="G129" s="34"/>
      <c r="H129" s="66">
        <v>-41.204000000000001</v>
      </c>
      <c r="I129" s="66">
        <v>-3.9580000000000002</v>
      </c>
      <c r="J129" s="66">
        <v>-3.9580000000000002</v>
      </c>
      <c r="K129" s="86">
        <v>-21.95</v>
      </c>
      <c r="L129" s="86">
        <v>-26.95</v>
      </c>
      <c r="M129" s="66">
        <v>-2</v>
      </c>
      <c r="N129" s="66">
        <v>-0.36900000000000022</v>
      </c>
      <c r="O129" s="66">
        <v>0.94700000000000029</v>
      </c>
      <c r="P129" s="66">
        <v>-0.10000000000000009</v>
      </c>
      <c r="Q129" s="66">
        <v>-6.0009999999999994</v>
      </c>
      <c r="R129" s="66">
        <v>-0.23600000000000065</v>
      </c>
      <c r="S129" s="66">
        <v>-2</v>
      </c>
      <c r="T129" s="66">
        <v>-9.0960000000000001</v>
      </c>
      <c r="U129" s="66">
        <v>-6</v>
      </c>
      <c r="V129" s="66">
        <v>-1.9800000000000004</v>
      </c>
      <c r="W129" s="66">
        <v>0</v>
      </c>
      <c r="X129" s="66">
        <v>-0.21799999999999997</v>
      </c>
      <c r="Y129" s="66">
        <v>-27.053000000000001</v>
      </c>
      <c r="Z129" s="34"/>
      <c r="AA129" s="66">
        <v>-21.95</v>
      </c>
      <c r="AB129" s="60">
        <v>-5.0999999999999996</v>
      </c>
      <c r="AC129" s="34"/>
      <c r="AD129" s="66">
        <v>-26.95</v>
      </c>
      <c r="AE129" s="60">
        <v>-0.1</v>
      </c>
    </row>
    <row r="130" spans="1:31" ht="18" hidden="1" customHeight="1" outlineLevel="1" x14ac:dyDescent="0.2">
      <c r="A130" s="30" t="s">
        <v>156</v>
      </c>
      <c r="B130" s="30" t="s">
        <v>18</v>
      </c>
      <c r="C130" s="4">
        <v>-2.0132947976878612</v>
      </c>
      <c r="D130" s="4">
        <v>-4.2599999999999999E-2</v>
      </c>
      <c r="F130" s="38" t="s">
        <v>157</v>
      </c>
      <c r="G130" s="34"/>
      <c r="H130" s="66">
        <v>-29.286999999999999</v>
      </c>
      <c r="I130" s="66">
        <v>-20.161999999999999</v>
      </c>
      <c r="J130" s="66">
        <v>-20.161999999999999</v>
      </c>
      <c r="K130" s="86">
        <v>-17.3</v>
      </c>
      <c r="L130" s="86">
        <v>-50</v>
      </c>
      <c r="M130" s="66">
        <v>-2.2000000000000002</v>
      </c>
      <c r="N130" s="66">
        <v>-2.2000000000000002</v>
      </c>
      <c r="O130" s="66">
        <v>-10.227</v>
      </c>
      <c r="P130" s="66">
        <v>-18.674999999999997</v>
      </c>
      <c r="Q130" s="66">
        <v>-2.1319999999999979</v>
      </c>
      <c r="R130" s="66">
        <v>-7.4620000000000033</v>
      </c>
      <c r="S130" s="66">
        <v>-1.0069999999999979</v>
      </c>
      <c r="T130" s="66">
        <v>-6.1219999999999999</v>
      </c>
      <c r="U130" s="66">
        <v>0</v>
      </c>
      <c r="V130" s="66">
        <v>0</v>
      </c>
      <c r="W130" s="66">
        <v>-1.0069999999999979</v>
      </c>
      <c r="X130" s="66">
        <v>-1.1000000000000014</v>
      </c>
      <c r="Y130" s="66">
        <v>-52.131999999999998</v>
      </c>
      <c r="Z130" s="34"/>
      <c r="AA130" s="66">
        <v>-17.3</v>
      </c>
      <c r="AB130" s="60">
        <v>-34.83</v>
      </c>
      <c r="AC130" s="34"/>
      <c r="AD130" s="66">
        <v>-50</v>
      </c>
      <c r="AE130" s="60">
        <v>-2.13</v>
      </c>
    </row>
    <row r="131" spans="1:31" ht="18" hidden="1" customHeight="1" outlineLevel="1" x14ac:dyDescent="0.2">
      <c r="A131" s="30" t="s">
        <v>160</v>
      </c>
      <c r="B131" s="30" t="s">
        <v>18</v>
      </c>
      <c r="C131" s="4">
        <v>0</v>
      </c>
      <c r="D131" s="4">
        <v>0</v>
      </c>
      <c r="F131" s="38" t="s">
        <v>161</v>
      </c>
      <c r="G131" s="34"/>
      <c r="H131" s="66">
        <v>4.319</v>
      </c>
      <c r="I131" s="66">
        <v>3.42</v>
      </c>
      <c r="J131" s="66">
        <v>3.42</v>
      </c>
      <c r="K131" s="86">
        <v>0</v>
      </c>
      <c r="L131" s="8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34"/>
      <c r="AA131" s="66">
        <v>0</v>
      </c>
      <c r="AB131" s="60">
        <v>0</v>
      </c>
      <c r="AC131" s="34"/>
      <c r="AD131" s="66">
        <v>0</v>
      </c>
      <c r="AE131" s="60">
        <v>0</v>
      </c>
    </row>
    <row r="132" spans="1:31" ht="18" customHeight="1" collapsed="1" x14ac:dyDescent="0.2">
      <c r="A132" s="35"/>
      <c r="B132" s="35"/>
      <c r="C132" s="4">
        <v>-1.0175796178343948</v>
      </c>
      <c r="D132" s="4">
        <v>-2.910981156595192E-2</v>
      </c>
      <c r="F132" s="106" t="s">
        <v>378</v>
      </c>
      <c r="H132" s="61">
        <v>-66.171999999999997</v>
      </c>
      <c r="I132" s="61">
        <v>-20.699999999999996</v>
      </c>
      <c r="J132" s="61">
        <v>-20.699999999999996</v>
      </c>
      <c r="K132" s="86">
        <v>-39.25</v>
      </c>
      <c r="L132" s="86">
        <v>-76.95</v>
      </c>
      <c r="M132" s="61">
        <v>-4.2</v>
      </c>
      <c r="N132" s="61">
        <v>-2.5690000000000004</v>
      </c>
      <c r="O132" s="61">
        <v>-9.2799999999999994</v>
      </c>
      <c r="P132" s="61">
        <v>-18.774999999999999</v>
      </c>
      <c r="Q132" s="61">
        <v>-8.1329999999999973</v>
      </c>
      <c r="R132" s="61">
        <v>-7.698000000000004</v>
      </c>
      <c r="S132" s="61">
        <v>-3.0069999999999979</v>
      </c>
      <c r="T132" s="61">
        <v>-15.218</v>
      </c>
      <c r="U132" s="61">
        <v>-6</v>
      </c>
      <c r="V132" s="61">
        <v>-1.9800000000000004</v>
      </c>
      <c r="W132" s="61">
        <v>-1.0069999999999979</v>
      </c>
      <c r="X132" s="61">
        <v>-1.3180000000000014</v>
      </c>
      <c r="Y132" s="61">
        <v>-79.185000000000002</v>
      </c>
      <c r="AA132" s="61">
        <v>-39.25</v>
      </c>
      <c r="AB132" s="60">
        <v>-39.94</v>
      </c>
      <c r="AD132" s="61">
        <v>-76.95</v>
      </c>
      <c r="AE132" s="60">
        <v>-2.2400000000000002</v>
      </c>
    </row>
    <row r="133" spans="1:31" ht="18" hidden="1" customHeight="1" outlineLevel="1" x14ac:dyDescent="0.2">
      <c r="A133" s="30" t="s">
        <v>158</v>
      </c>
      <c r="B133" s="30" t="s">
        <v>18</v>
      </c>
      <c r="C133" s="4">
        <v>0.96967213114754114</v>
      </c>
      <c r="D133" s="4">
        <v>-0.85000000000000442</v>
      </c>
      <c r="F133" s="38" t="s">
        <v>159</v>
      </c>
      <c r="G133" s="34"/>
      <c r="H133" s="66">
        <v>-0.436</v>
      </c>
      <c r="I133" s="66">
        <v>-1.2689999999999999</v>
      </c>
      <c r="J133" s="66">
        <v>-1.2689999999999999</v>
      </c>
      <c r="K133" s="86">
        <v>-12.2</v>
      </c>
      <c r="L133" s="86">
        <v>-0.19999999999999901</v>
      </c>
      <c r="M133" s="66">
        <v>-1.4E-2</v>
      </c>
      <c r="N133" s="66">
        <v>-1.8000000000000002E-2</v>
      </c>
      <c r="O133" s="66">
        <v>-7.0999999999999994E-2</v>
      </c>
      <c r="P133" s="66">
        <v>2.9999999999999888E-3</v>
      </c>
      <c r="Q133" s="66">
        <v>-2.5999999999999995E-2</v>
      </c>
      <c r="R133" s="66">
        <v>-5.1999999999999991E-2</v>
      </c>
      <c r="S133" s="66">
        <v>-8.6000000000000021E-2</v>
      </c>
      <c r="T133" s="66">
        <v>1.0000000000000009E-3</v>
      </c>
      <c r="U133" s="66">
        <v>-1.9999999999999962E-2</v>
      </c>
      <c r="V133" s="66">
        <v>-2.200000000000002E-2</v>
      </c>
      <c r="W133" s="66">
        <v>-3.999999999999998E-2</v>
      </c>
      <c r="X133" s="66">
        <v>-2.1000000000000019E-2</v>
      </c>
      <c r="Y133" s="66">
        <v>-0.36599999999999999</v>
      </c>
      <c r="Z133" s="34"/>
      <c r="AA133" s="66">
        <v>-12.199999999999998</v>
      </c>
      <c r="AB133" s="60">
        <v>11.83</v>
      </c>
      <c r="AC133" s="34"/>
      <c r="AD133" s="66">
        <v>-0.19999999999999898</v>
      </c>
      <c r="AE133" s="60">
        <v>-0.17</v>
      </c>
    </row>
    <row r="134" spans="1:31" ht="18" hidden="1" customHeight="1" outlineLevel="1" x14ac:dyDescent="0.2">
      <c r="A134" s="30" t="s">
        <v>152</v>
      </c>
      <c r="B134" s="30" t="s">
        <v>18</v>
      </c>
      <c r="C134" s="4">
        <v>-1</v>
      </c>
      <c r="D134" s="4">
        <v>-1</v>
      </c>
      <c r="F134" s="38" t="s">
        <v>153</v>
      </c>
      <c r="G134" s="34"/>
      <c r="H134" s="66">
        <v>-0.41599999999999998</v>
      </c>
      <c r="I134" s="66">
        <v>-0.1</v>
      </c>
      <c r="J134" s="66">
        <v>-0.1</v>
      </c>
      <c r="K134" s="86">
        <v>0</v>
      </c>
      <c r="L134" s="86">
        <v>0</v>
      </c>
      <c r="M134" s="66">
        <v>0</v>
      </c>
      <c r="N134" s="66">
        <v>0</v>
      </c>
      <c r="O134" s="66">
        <v>1.0999999999999999E-2</v>
      </c>
      <c r="P134" s="66">
        <v>-9.9999999999999992E-2</v>
      </c>
      <c r="Q134" s="66">
        <v>-0.74099999999999999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-0.83</v>
      </c>
      <c r="Z134" s="34"/>
      <c r="AA134" s="66">
        <v>0</v>
      </c>
      <c r="AB134" s="60">
        <v>-0.83</v>
      </c>
      <c r="AC134" s="34"/>
      <c r="AD134" s="66">
        <v>0</v>
      </c>
      <c r="AE134" s="60">
        <v>-0.83</v>
      </c>
    </row>
    <row r="135" spans="1:31" ht="18" hidden="1" customHeight="1" outlineLevel="1" x14ac:dyDescent="0.2">
      <c r="A135" s="30" t="s">
        <v>269</v>
      </c>
      <c r="B135" s="30" t="s">
        <v>18</v>
      </c>
      <c r="C135" s="4">
        <v>0</v>
      </c>
      <c r="D135" s="4">
        <v>0</v>
      </c>
      <c r="F135" s="38" t="s">
        <v>271</v>
      </c>
      <c r="G135" s="34"/>
      <c r="H135" s="66">
        <v>0</v>
      </c>
      <c r="I135" s="66">
        <v>0</v>
      </c>
      <c r="J135" s="66">
        <v>0</v>
      </c>
      <c r="K135" s="86">
        <v>0</v>
      </c>
      <c r="L135" s="8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34"/>
      <c r="AA135" s="66">
        <v>0</v>
      </c>
      <c r="AB135" s="60">
        <v>0</v>
      </c>
      <c r="AC135" s="34"/>
      <c r="AD135" s="66">
        <v>0</v>
      </c>
      <c r="AE135" s="60">
        <v>0</v>
      </c>
    </row>
    <row r="136" spans="1:31" ht="18" hidden="1" customHeight="1" outlineLevel="1" x14ac:dyDescent="0.2">
      <c r="A136" s="30" t="s">
        <v>270</v>
      </c>
      <c r="B136" s="30" t="s">
        <v>18</v>
      </c>
      <c r="C136" s="4">
        <v>0</v>
      </c>
      <c r="D136" s="4">
        <v>0</v>
      </c>
      <c r="F136" s="38" t="s">
        <v>272</v>
      </c>
      <c r="G136" s="34"/>
      <c r="H136" s="66">
        <v>-2.6</v>
      </c>
      <c r="I136" s="66">
        <v>0</v>
      </c>
      <c r="J136" s="66">
        <v>0</v>
      </c>
      <c r="K136" s="86">
        <v>0</v>
      </c>
      <c r="L136" s="8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34"/>
      <c r="AA136" s="66">
        <v>0</v>
      </c>
      <c r="AB136" s="60">
        <v>0</v>
      </c>
      <c r="AC136" s="34"/>
      <c r="AD136" s="66">
        <v>0</v>
      </c>
      <c r="AE136" s="60">
        <v>0</v>
      </c>
    </row>
    <row r="137" spans="1:31" ht="18" hidden="1" customHeight="1" outlineLevel="1" x14ac:dyDescent="0.2">
      <c r="A137" s="30" t="s">
        <v>162</v>
      </c>
      <c r="B137" s="30" t="s">
        <v>18</v>
      </c>
      <c r="C137" s="4">
        <v>-1.0076045627376427</v>
      </c>
      <c r="D137" s="4">
        <v>-1.0076045627376427</v>
      </c>
      <c r="F137" s="38" t="s">
        <v>163</v>
      </c>
      <c r="G137" s="34"/>
      <c r="H137" s="66">
        <v>-0.52600000000000002</v>
      </c>
      <c r="I137" s="66">
        <v>-0.21099999999999999</v>
      </c>
      <c r="J137" s="66">
        <v>-0.21099999999999999</v>
      </c>
      <c r="K137" s="86">
        <v>0</v>
      </c>
      <c r="L137" s="8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-0.52600000000000002</v>
      </c>
      <c r="Y137" s="66">
        <v>-0.52600000000000002</v>
      </c>
      <c r="Z137" s="34"/>
      <c r="AA137" s="66">
        <v>0</v>
      </c>
      <c r="AB137" s="60">
        <v>-0.53</v>
      </c>
      <c r="AC137" s="34"/>
      <c r="AD137" s="66">
        <v>0</v>
      </c>
      <c r="AE137" s="60">
        <v>-0.53</v>
      </c>
    </row>
    <row r="138" spans="1:31" ht="18" hidden="1" customHeight="1" outlineLevel="1" x14ac:dyDescent="0.2">
      <c r="A138" s="30" t="s">
        <v>164</v>
      </c>
      <c r="B138" s="30" t="s">
        <v>18</v>
      </c>
      <c r="C138" s="4">
        <v>0</v>
      </c>
      <c r="D138" s="4">
        <v>0</v>
      </c>
      <c r="F138" s="38" t="s">
        <v>165</v>
      </c>
      <c r="G138" s="34"/>
      <c r="H138" s="66">
        <v>0</v>
      </c>
      <c r="I138" s="66">
        <v>0</v>
      </c>
      <c r="J138" s="66">
        <v>0</v>
      </c>
      <c r="K138" s="86">
        <v>0</v>
      </c>
      <c r="L138" s="8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34"/>
      <c r="AA138" s="66">
        <v>0</v>
      </c>
      <c r="AB138" s="60">
        <v>0</v>
      </c>
      <c r="AC138" s="34"/>
      <c r="AD138" s="66">
        <v>0</v>
      </c>
      <c r="AE138" s="60">
        <v>0</v>
      </c>
    </row>
    <row r="139" spans="1:31" ht="18" hidden="1" customHeight="1" outlineLevel="1" x14ac:dyDescent="0.2">
      <c r="A139" s="30" t="s">
        <v>166</v>
      </c>
      <c r="B139" s="30" t="s">
        <v>18</v>
      </c>
      <c r="C139" s="4">
        <v>0</v>
      </c>
      <c r="D139" s="4">
        <v>0</v>
      </c>
      <c r="F139" s="38" t="s">
        <v>167</v>
      </c>
      <c r="G139" s="34"/>
      <c r="H139" s="66">
        <v>0</v>
      </c>
      <c r="I139" s="66">
        <v>0</v>
      </c>
      <c r="J139" s="66">
        <v>0</v>
      </c>
      <c r="K139" s="86">
        <v>0</v>
      </c>
      <c r="L139" s="8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34"/>
      <c r="AA139" s="66">
        <v>0</v>
      </c>
      <c r="AB139" s="60">
        <v>0</v>
      </c>
      <c r="AC139" s="34"/>
      <c r="AD139" s="66">
        <v>0</v>
      </c>
      <c r="AE139" s="60">
        <v>0</v>
      </c>
    </row>
    <row r="140" spans="1:31" ht="18" customHeight="1" collapsed="1" x14ac:dyDescent="0.2">
      <c r="A140" s="30" t="s">
        <v>408</v>
      </c>
      <c r="B140" s="30" t="s">
        <v>18</v>
      </c>
      <c r="C140" s="4"/>
      <c r="D140" s="4"/>
      <c r="F140" s="106" t="s">
        <v>409</v>
      </c>
      <c r="G140" s="34"/>
      <c r="H140" s="61">
        <v>-3.6429999999999998</v>
      </c>
      <c r="I140" s="61">
        <v>-3.8610000000000002</v>
      </c>
      <c r="J140" s="61">
        <v>-3.8610000000000002</v>
      </c>
      <c r="K140" s="86">
        <v>0</v>
      </c>
      <c r="L140" s="86">
        <v>0</v>
      </c>
      <c r="M140" s="61">
        <v>0</v>
      </c>
      <c r="N140" s="197">
        <v>-0.99299999999999999</v>
      </c>
      <c r="O140" s="61">
        <v>0</v>
      </c>
      <c r="P140" s="61">
        <v>0</v>
      </c>
      <c r="Q140" s="61">
        <v>-0.85799999999999998</v>
      </c>
      <c r="R140" s="61">
        <v>0</v>
      </c>
      <c r="S140" s="61">
        <v>0</v>
      </c>
      <c r="T140" s="61">
        <v>-0.83099999999999996</v>
      </c>
      <c r="U140" s="61">
        <v>0</v>
      </c>
      <c r="V140" s="61">
        <v>0</v>
      </c>
      <c r="W140" s="61">
        <v>-0.76600000000000001</v>
      </c>
      <c r="X140" s="61">
        <v>0</v>
      </c>
      <c r="Y140" s="61">
        <v>-3.448</v>
      </c>
      <c r="AA140" s="257">
        <v>0</v>
      </c>
      <c r="AB140" s="60">
        <v>-3.45</v>
      </c>
      <c r="AD140" s="61">
        <v>0</v>
      </c>
      <c r="AE140" s="60">
        <v>-3.45</v>
      </c>
    </row>
    <row r="141" spans="1:31" ht="18" customHeight="1" x14ac:dyDescent="0.2">
      <c r="A141" s="35"/>
      <c r="B141" s="35"/>
      <c r="C141" s="4">
        <v>0.85901639344262315</v>
      </c>
      <c r="D141" s="4">
        <v>-7.6000000000000387</v>
      </c>
      <c r="F141" s="106" t="s">
        <v>189</v>
      </c>
      <c r="H141" s="61">
        <v>-3.9779999999999998</v>
      </c>
      <c r="I141" s="61">
        <v>-1.58</v>
      </c>
      <c r="J141" s="61">
        <v>-1.58</v>
      </c>
      <c r="K141" s="86">
        <v>-12.2</v>
      </c>
      <c r="L141" s="86">
        <v>-0.19999999999999901</v>
      </c>
      <c r="M141" s="61">
        <v>-1.4E-2</v>
      </c>
      <c r="N141" s="61">
        <v>-1.8000000000000002E-2</v>
      </c>
      <c r="O141" s="61">
        <v>-0.06</v>
      </c>
      <c r="P141" s="61">
        <v>-9.7000000000000003E-2</v>
      </c>
      <c r="Q141" s="61">
        <v>-0.76700000000000002</v>
      </c>
      <c r="R141" s="61">
        <v>-5.1999999999999991E-2</v>
      </c>
      <c r="S141" s="61">
        <v>-8.6000000000000021E-2</v>
      </c>
      <c r="T141" s="61">
        <v>1.0000000000000009E-3</v>
      </c>
      <c r="U141" s="61">
        <v>-1.9999999999999962E-2</v>
      </c>
      <c r="V141" s="61">
        <v>-2.200000000000002E-2</v>
      </c>
      <c r="W141" s="61">
        <v>-3.999999999999998E-2</v>
      </c>
      <c r="X141" s="61">
        <v>-0.54700000000000004</v>
      </c>
      <c r="Y141" s="61">
        <v>-1.722</v>
      </c>
      <c r="AA141" s="61">
        <v>-12.199999999999998</v>
      </c>
      <c r="AB141" s="60">
        <v>10.48</v>
      </c>
      <c r="AD141" s="61">
        <v>-0.19999999999999898</v>
      </c>
      <c r="AE141" s="60">
        <v>-1.52</v>
      </c>
    </row>
    <row r="142" spans="1:31" ht="18" customHeight="1" x14ac:dyDescent="0.2">
      <c r="A142" s="35"/>
      <c r="B142" s="35"/>
      <c r="C142" s="4">
        <v>-0.29118204804045505</v>
      </c>
      <c r="D142" s="4">
        <v>2.0311750599520385E-2</v>
      </c>
      <c r="F142" s="95" t="s">
        <v>65</v>
      </c>
      <c r="H142" s="195">
        <v>-393.21699999999998</v>
      </c>
      <c r="I142" s="195">
        <v>-389.45699999999994</v>
      </c>
      <c r="J142" s="64">
        <v>-389.45699999999994</v>
      </c>
      <c r="K142" s="89">
        <v>-316.40000000000003</v>
      </c>
      <c r="L142" s="89">
        <v>-417</v>
      </c>
      <c r="M142" s="64">
        <v>-40.987000000000002</v>
      </c>
      <c r="N142" s="64">
        <v>-30.886999999999997</v>
      </c>
      <c r="O142" s="64">
        <v>-32.121000000000009</v>
      </c>
      <c r="P142" s="64">
        <v>-45.163000000000004</v>
      </c>
      <c r="Q142" s="64">
        <v>-34.167999999999999</v>
      </c>
      <c r="R142" s="64">
        <v>-34.324999999999996</v>
      </c>
      <c r="S142" s="64">
        <v>-26.714999999999996</v>
      </c>
      <c r="T142" s="64">
        <v>-35.930000000000014</v>
      </c>
      <c r="U142" s="64">
        <v>-29.01799999999999</v>
      </c>
      <c r="V142" s="64">
        <v>-34.892000000000003</v>
      </c>
      <c r="W142" s="64">
        <v>-38.021999999999998</v>
      </c>
      <c r="X142" s="64">
        <v>-26.304999999999978</v>
      </c>
      <c r="Y142" s="64">
        <v>-408.5329999999999</v>
      </c>
      <c r="AA142" s="64">
        <v>-316.40000000000003</v>
      </c>
      <c r="AB142" s="60">
        <v>-92.13</v>
      </c>
      <c r="AD142" s="64">
        <v>-417</v>
      </c>
      <c r="AE142" s="60">
        <v>8.4700000000000006</v>
      </c>
    </row>
    <row r="143" spans="1:31" ht="12.95" customHeight="1" x14ac:dyDescent="0.2">
      <c r="A143" s="35"/>
      <c r="B143" s="35"/>
      <c r="C143" s="4"/>
      <c r="D143" s="4"/>
      <c r="F143" s="39" t="s">
        <v>223</v>
      </c>
      <c r="H143" s="56">
        <v>5.8168246894893694E-2</v>
      </c>
      <c r="I143" s="56">
        <v>5.6331026374943381E-2</v>
      </c>
      <c r="J143" s="56">
        <v>5.6331026374943381E-2</v>
      </c>
      <c r="K143" s="109">
        <v>5.3588190002991053E-2</v>
      </c>
      <c r="L143" s="109">
        <v>6.7537943934436684E-2</v>
      </c>
      <c r="M143" s="56">
        <v>7.4743602836051692E-2</v>
      </c>
      <c r="N143" s="56">
        <v>6.4872164848851457E-2</v>
      </c>
      <c r="O143" s="56">
        <v>6.4744025171177333E-2</v>
      </c>
      <c r="P143" s="56">
        <v>8.7789071414270406E-2</v>
      </c>
      <c r="Q143" s="56">
        <v>6.1587378264529383E-2</v>
      </c>
      <c r="R143" s="56">
        <v>6.2393889488742763E-2</v>
      </c>
      <c r="S143" s="56">
        <v>5.5118500133076641E-2</v>
      </c>
      <c r="T143" s="56">
        <v>7.0684655547555333E-2</v>
      </c>
      <c r="U143" s="56">
        <v>5.695521778726878E-2</v>
      </c>
      <c r="V143" s="56">
        <v>6.9738809251604944E-2</v>
      </c>
      <c r="W143" s="56">
        <v>7.1189315798441122E-2</v>
      </c>
      <c r="X143" s="56">
        <v>4.7842930413589849E-2</v>
      </c>
      <c r="Y143" s="56">
        <v>6.5609768240370903E-2</v>
      </c>
      <c r="AA143" s="56">
        <v>5.3588190002991053E-2</v>
      </c>
      <c r="AB143" s="57"/>
      <c r="AD143" s="56">
        <v>6.7537943934436684E-2</v>
      </c>
      <c r="AE143" s="57"/>
    </row>
    <row r="144" spans="1:31" ht="6.95" customHeight="1" x14ac:dyDescent="0.2">
      <c r="C144" s="4"/>
      <c r="D144" s="4"/>
      <c r="F144" s="96"/>
      <c r="H144" s="16"/>
      <c r="I144" s="16"/>
      <c r="J144" s="16"/>
      <c r="K144" s="85"/>
      <c r="L144" s="85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AA144" s="16"/>
      <c r="AB144" s="20"/>
      <c r="AD144" s="16"/>
      <c r="AE144" s="20"/>
    </row>
    <row r="145" spans="1:31" ht="18" hidden="1" customHeight="1" outlineLevel="1" collapsed="1" x14ac:dyDescent="0.2">
      <c r="A145" s="35"/>
      <c r="B145" s="35"/>
      <c r="C145" s="4"/>
      <c r="D145" s="4"/>
      <c r="F145" s="97" t="s">
        <v>242</v>
      </c>
      <c r="H145" s="74">
        <v>5.8140599999999996</v>
      </c>
      <c r="I145" s="74">
        <v>0.84648000000000001</v>
      </c>
      <c r="J145" s="74">
        <v>0.84648000000000001</v>
      </c>
      <c r="K145" s="112">
        <v>0.6</v>
      </c>
      <c r="L145" s="112">
        <v>0.34</v>
      </c>
      <c r="M145" s="74">
        <v>-0.19512000000000002</v>
      </c>
      <c r="N145" s="74">
        <v>0.14591999999999999</v>
      </c>
      <c r="O145" s="74">
        <v>0.28271999999999997</v>
      </c>
      <c r="P145" s="74">
        <v>0.22919999999999999</v>
      </c>
      <c r="Q145" s="74">
        <v>0</v>
      </c>
      <c r="R145" s="74">
        <v>0.31344</v>
      </c>
      <c r="S145" s="74">
        <v>0.31536000000000003</v>
      </c>
      <c r="T145" s="74">
        <v>9.3599999999999919E-2</v>
      </c>
      <c r="U145" s="74">
        <v>0</v>
      </c>
      <c r="V145" s="74">
        <v>-8.4719999999999934E-2</v>
      </c>
      <c r="W145" s="74">
        <v>0.57984000000000013</v>
      </c>
      <c r="X145" s="74">
        <v>0.45408000000000004</v>
      </c>
      <c r="Y145" s="74">
        <v>0.17786000000000002</v>
      </c>
      <c r="AA145" s="74">
        <v>0.6</v>
      </c>
      <c r="AB145" s="73">
        <v>-0.42</v>
      </c>
      <c r="AD145" s="74">
        <v>0.34</v>
      </c>
      <c r="AE145" s="73">
        <v>-0.16</v>
      </c>
    </row>
    <row r="146" spans="1:31" ht="18" customHeight="1" collapsed="1" x14ac:dyDescent="0.2">
      <c r="A146" s="30" t="s">
        <v>79</v>
      </c>
      <c r="B146" s="30" t="s">
        <v>18</v>
      </c>
      <c r="C146" s="4">
        <v>0.70366666666666666</v>
      </c>
      <c r="D146" s="4">
        <v>0.47705882352941176</v>
      </c>
      <c r="F146" s="106" t="s">
        <v>83</v>
      </c>
      <c r="H146" s="61">
        <v>-290.70299999999997</v>
      </c>
      <c r="I146" s="61">
        <v>-42.323999999999998</v>
      </c>
      <c r="J146" s="61">
        <v>-42.323999999999998</v>
      </c>
      <c r="K146" s="86">
        <v>-30</v>
      </c>
      <c r="L146" s="86">
        <v>-17</v>
      </c>
      <c r="M146" s="61">
        <v>0.81299999999999994</v>
      </c>
      <c r="N146" s="61">
        <v>-0.60799999999999998</v>
      </c>
      <c r="O146" s="61">
        <v>-1.1779999999999999</v>
      </c>
      <c r="P146" s="61">
        <v>-0.95499999999999996</v>
      </c>
      <c r="Q146" s="61">
        <v>0</v>
      </c>
      <c r="R146" s="61">
        <v>-1.306</v>
      </c>
      <c r="S146" s="61">
        <v>-1.3140000000000001</v>
      </c>
      <c r="T146" s="61">
        <v>-0.38999999999999968</v>
      </c>
      <c r="U146" s="61">
        <v>0</v>
      </c>
      <c r="V146" s="61">
        <v>0.35299999999999976</v>
      </c>
      <c r="W146" s="61">
        <v>-2.4160000000000004</v>
      </c>
      <c r="X146" s="61">
        <v>-1.8920000000000003</v>
      </c>
      <c r="Y146" s="61">
        <v>-8.8930000000000007</v>
      </c>
      <c r="AA146" s="61">
        <v>-30</v>
      </c>
      <c r="AB146" s="60">
        <v>21.11</v>
      </c>
      <c r="AD146" s="61">
        <v>-17</v>
      </c>
      <c r="AE146" s="60">
        <v>8.11</v>
      </c>
    </row>
    <row r="147" spans="1:31" ht="18" customHeight="1" x14ac:dyDescent="0.2">
      <c r="A147" s="30" t="s">
        <v>80</v>
      </c>
      <c r="B147" s="30" t="s">
        <v>18</v>
      </c>
      <c r="C147" s="4">
        <v>0.36</v>
      </c>
      <c r="D147" s="4">
        <v>3.0303030303030304E-2</v>
      </c>
      <c r="F147" s="106" t="s">
        <v>84</v>
      </c>
      <c r="H147" s="61">
        <v>0</v>
      </c>
      <c r="I147" s="61">
        <v>-1.23</v>
      </c>
      <c r="J147" s="61">
        <v>-1.23</v>
      </c>
      <c r="K147" s="86">
        <v>-2</v>
      </c>
      <c r="L147" s="86">
        <v>-1.32</v>
      </c>
      <c r="M147" s="61">
        <v>0</v>
      </c>
      <c r="N147" s="61">
        <v>-0.13600000000000001</v>
      </c>
      <c r="O147" s="61">
        <v>-0.40900000000000003</v>
      </c>
      <c r="P147" s="61">
        <v>0</v>
      </c>
      <c r="Q147" s="61">
        <v>-0.73099999999999998</v>
      </c>
      <c r="R147" s="61">
        <v>0</v>
      </c>
      <c r="S147" s="61">
        <v>0</v>
      </c>
      <c r="T147" s="61">
        <v>0</v>
      </c>
      <c r="U147" s="61">
        <v>0</v>
      </c>
      <c r="V147" s="61">
        <v>0</v>
      </c>
      <c r="W147" s="61">
        <v>0</v>
      </c>
      <c r="X147" s="61">
        <v>0</v>
      </c>
      <c r="Y147" s="61">
        <v>-1.276</v>
      </c>
      <c r="AA147" s="61">
        <v>-2</v>
      </c>
      <c r="AB147" s="60">
        <v>0.72</v>
      </c>
      <c r="AD147" s="61">
        <v>-1.32</v>
      </c>
      <c r="AE147" s="60">
        <v>0.04</v>
      </c>
    </row>
    <row r="148" spans="1:31" ht="18" customHeight="1" x14ac:dyDescent="0.2">
      <c r="A148" s="30" t="s">
        <v>81</v>
      </c>
      <c r="B148" s="30" t="s">
        <v>18</v>
      </c>
      <c r="C148" s="4">
        <v>0.50651162790697679</v>
      </c>
      <c r="D148" s="4">
        <v>3.5454545454545454E-2</v>
      </c>
      <c r="F148" s="106" t="s">
        <v>85</v>
      </c>
      <c r="H148" s="61">
        <v>-45.805999999999997</v>
      </c>
      <c r="I148" s="61">
        <v>-45.146999999999998</v>
      </c>
      <c r="J148" s="61">
        <v>-45.146999999999998</v>
      </c>
      <c r="K148" s="86">
        <v>-43</v>
      </c>
      <c r="L148" s="86">
        <v>-22</v>
      </c>
      <c r="M148" s="61">
        <v>-2.3090000000000002</v>
      </c>
      <c r="N148" s="61">
        <v>-4.6920000000000002</v>
      </c>
      <c r="O148" s="61">
        <v>-1.1160000000000005</v>
      </c>
      <c r="P148" s="61">
        <v>-2.9999999999999361E-2</v>
      </c>
      <c r="Q148" s="61">
        <v>-0.26699999999999946</v>
      </c>
      <c r="R148" s="61">
        <v>-1.2170000000000005</v>
      </c>
      <c r="S148" s="61">
        <v>-0.7159999999999993</v>
      </c>
      <c r="T148" s="61">
        <v>-1.3630000000000013</v>
      </c>
      <c r="U148" s="61">
        <v>-1.6169999999999991</v>
      </c>
      <c r="V148" s="61">
        <v>-4.8409999999999993</v>
      </c>
      <c r="W148" s="61">
        <v>-2.583000000000002</v>
      </c>
      <c r="X148" s="61">
        <v>-0.46799999999999997</v>
      </c>
      <c r="Y148" s="61">
        <v>-21.219000000000001</v>
      </c>
      <c r="AA148" s="61">
        <v>-43</v>
      </c>
      <c r="AB148" s="60">
        <v>21.78</v>
      </c>
      <c r="AD148" s="61">
        <v>-22</v>
      </c>
      <c r="AE148" s="60">
        <v>0.78</v>
      </c>
    </row>
    <row r="149" spans="1:31" ht="18" customHeight="1" x14ac:dyDescent="0.2">
      <c r="A149" s="30" t="s">
        <v>204</v>
      </c>
      <c r="B149" s="30" t="s">
        <v>18</v>
      </c>
      <c r="C149" s="4">
        <v>3.3971428571428572</v>
      </c>
      <c r="D149" s="4">
        <v>22.63380281690138</v>
      </c>
      <c r="F149" s="104" t="s">
        <v>139</v>
      </c>
      <c r="G149" s="36"/>
      <c r="H149" s="65">
        <v>-16.47</v>
      </c>
      <c r="I149" s="65">
        <v>-13.473000000000001</v>
      </c>
      <c r="J149" s="65">
        <v>-13.473000000000001</v>
      </c>
      <c r="K149" s="65">
        <v>-7</v>
      </c>
      <c r="L149" s="65">
        <v>0.71000000000000096</v>
      </c>
      <c r="M149" s="65">
        <v>0</v>
      </c>
      <c r="N149" s="65">
        <v>1.399</v>
      </c>
      <c r="O149" s="65">
        <v>1.3820000000000001</v>
      </c>
      <c r="P149" s="65">
        <v>4.3469999999999995</v>
      </c>
      <c r="Q149" s="65">
        <v>0</v>
      </c>
      <c r="R149" s="65">
        <v>0</v>
      </c>
      <c r="S149" s="65">
        <v>0</v>
      </c>
      <c r="T149" s="65">
        <v>0</v>
      </c>
      <c r="U149" s="65">
        <v>0</v>
      </c>
      <c r="V149" s="65">
        <v>-1.7960000000000003</v>
      </c>
      <c r="W149" s="65">
        <v>-6.7969999999999997</v>
      </c>
      <c r="X149" s="65">
        <v>18.239999999999998</v>
      </c>
      <c r="Y149" s="65">
        <v>16.774999999999999</v>
      </c>
      <c r="Z149" s="36"/>
      <c r="AA149" s="65">
        <v>-7</v>
      </c>
      <c r="AB149" s="60">
        <v>23.78</v>
      </c>
      <c r="AC149" s="36"/>
      <c r="AD149" s="65">
        <v>0.71000000000000096</v>
      </c>
      <c r="AE149" s="60">
        <v>16.07</v>
      </c>
    </row>
    <row r="150" spans="1:31" ht="18" customHeight="1" x14ac:dyDescent="0.2">
      <c r="A150" s="30" t="s">
        <v>82</v>
      </c>
      <c r="B150" s="30" t="s">
        <v>18</v>
      </c>
      <c r="C150" s="4">
        <v>-11.7</v>
      </c>
      <c r="D150" s="4">
        <v>-5.8333333333333327E-2</v>
      </c>
      <c r="F150" s="106" t="s">
        <v>86</v>
      </c>
      <c r="H150" s="61">
        <v>-13.367000000000001</v>
      </c>
      <c r="I150" s="61">
        <v>-2.343</v>
      </c>
      <c r="J150" s="61">
        <v>-2.343</v>
      </c>
      <c r="K150" s="86">
        <v>-2</v>
      </c>
      <c r="L150" s="86">
        <v>-24</v>
      </c>
      <c r="M150" s="61">
        <v>-1.3120000000000001</v>
      </c>
      <c r="N150" s="61">
        <v>-8.0440000000000005</v>
      </c>
      <c r="O150" s="61">
        <v>-1.0340000000000007</v>
      </c>
      <c r="P150" s="61">
        <v>-0.76999999999999957</v>
      </c>
      <c r="Q150" s="61">
        <v>-0.125</v>
      </c>
      <c r="R150" s="61">
        <v>-0.16900000000000048</v>
      </c>
      <c r="S150" s="61">
        <v>-0.61099999999999888</v>
      </c>
      <c r="T150" s="61">
        <v>-4.8370000000000015</v>
      </c>
      <c r="U150" s="61">
        <v>-1.3550000000000004</v>
      </c>
      <c r="V150" s="61">
        <v>-3.5659999999999989</v>
      </c>
      <c r="W150" s="61">
        <v>-1.8810000000000002</v>
      </c>
      <c r="X150" s="61">
        <v>-1.6939999999999991</v>
      </c>
      <c r="Y150" s="61">
        <v>-25.398</v>
      </c>
      <c r="AA150" s="61">
        <v>-2</v>
      </c>
      <c r="AB150" s="60">
        <v>-23.4</v>
      </c>
      <c r="AD150" s="61">
        <v>-24</v>
      </c>
      <c r="AE150" s="60">
        <v>-1.4</v>
      </c>
    </row>
    <row r="151" spans="1:31" ht="18" hidden="1" customHeight="1" outlineLevel="1" x14ac:dyDescent="0.2">
      <c r="A151" s="30" t="s">
        <v>140</v>
      </c>
      <c r="B151" s="30" t="s">
        <v>18</v>
      </c>
      <c r="C151" s="4">
        <v>0</v>
      </c>
      <c r="D151" s="4">
        <v>0</v>
      </c>
      <c r="F151" s="38" t="s">
        <v>141</v>
      </c>
      <c r="G151" s="34"/>
      <c r="H151" s="66">
        <v>0</v>
      </c>
      <c r="I151" s="66">
        <v>0</v>
      </c>
      <c r="J151" s="66">
        <v>0</v>
      </c>
      <c r="K151" s="86">
        <v>0</v>
      </c>
      <c r="L151" s="8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34"/>
      <c r="AA151" s="66">
        <v>0</v>
      </c>
      <c r="AB151" s="60">
        <v>0</v>
      </c>
      <c r="AC151" s="34"/>
      <c r="AD151" s="66">
        <v>0</v>
      </c>
      <c r="AE151" s="60">
        <v>0</v>
      </c>
    </row>
    <row r="152" spans="1:31" ht="18" hidden="1" customHeight="1" outlineLevel="1" x14ac:dyDescent="0.2">
      <c r="A152" s="30" t="s">
        <v>123</v>
      </c>
      <c r="B152" s="30" t="s">
        <v>18</v>
      </c>
      <c r="C152" s="4">
        <v>0</v>
      </c>
      <c r="D152" s="4">
        <v>0</v>
      </c>
      <c r="F152" s="38" t="s">
        <v>142</v>
      </c>
      <c r="G152" s="34"/>
      <c r="H152" s="66">
        <v>0</v>
      </c>
      <c r="I152" s="66">
        <v>0</v>
      </c>
      <c r="J152" s="66">
        <v>0</v>
      </c>
      <c r="K152" s="86">
        <v>0</v>
      </c>
      <c r="L152" s="8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34"/>
      <c r="AA152" s="66">
        <v>0</v>
      </c>
      <c r="AB152" s="60">
        <v>0</v>
      </c>
      <c r="AC152" s="34"/>
      <c r="AD152" s="66">
        <v>0</v>
      </c>
      <c r="AE152" s="60">
        <v>0</v>
      </c>
    </row>
    <row r="153" spans="1:31" ht="18" hidden="1" customHeight="1" outlineLevel="1" x14ac:dyDescent="0.2">
      <c r="A153" s="30" t="s">
        <v>124</v>
      </c>
      <c r="B153" s="30" t="s">
        <v>18</v>
      </c>
      <c r="C153" s="4">
        <v>0</v>
      </c>
      <c r="D153" s="4">
        <v>0</v>
      </c>
      <c r="F153" s="38" t="s">
        <v>143</v>
      </c>
      <c r="G153" s="34"/>
      <c r="H153" s="66">
        <v>0</v>
      </c>
      <c r="I153" s="66">
        <v>0</v>
      </c>
      <c r="J153" s="66">
        <v>0</v>
      </c>
      <c r="K153" s="86">
        <v>0</v>
      </c>
      <c r="L153" s="8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34"/>
      <c r="AA153" s="66">
        <v>0</v>
      </c>
      <c r="AB153" s="60">
        <v>0</v>
      </c>
      <c r="AC153" s="34"/>
      <c r="AD153" s="66">
        <v>0</v>
      </c>
      <c r="AE153" s="60">
        <v>0</v>
      </c>
    </row>
    <row r="154" spans="1:31" ht="18" hidden="1" customHeight="1" outlineLevel="1" x14ac:dyDescent="0.2">
      <c r="A154" s="30" t="s">
        <v>265</v>
      </c>
      <c r="B154" s="30" t="s">
        <v>18</v>
      </c>
      <c r="C154" s="4">
        <v>0</v>
      </c>
      <c r="D154" s="4">
        <v>0</v>
      </c>
      <c r="F154" s="38" t="s">
        <v>266</v>
      </c>
      <c r="G154" s="34"/>
      <c r="H154" s="66">
        <v>0</v>
      </c>
      <c r="I154" s="66">
        <v>0</v>
      </c>
      <c r="J154" s="66">
        <v>0</v>
      </c>
      <c r="K154" s="86">
        <v>0</v>
      </c>
      <c r="L154" s="8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34"/>
      <c r="AA154" s="66">
        <v>0</v>
      </c>
      <c r="AB154" s="60">
        <v>0</v>
      </c>
      <c r="AC154" s="34"/>
      <c r="AD154" s="66">
        <v>0</v>
      </c>
      <c r="AE154" s="60">
        <v>0</v>
      </c>
    </row>
    <row r="155" spans="1:31" ht="18" hidden="1" customHeight="1" outlineLevel="1" x14ac:dyDescent="0.2">
      <c r="A155" s="30" t="s">
        <v>144</v>
      </c>
      <c r="B155" s="30" t="s">
        <v>18</v>
      </c>
      <c r="C155" s="4">
        <v>0</v>
      </c>
      <c r="D155" s="4">
        <v>0</v>
      </c>
      <c r="F155" s="38" t="s">
        <v>145</v>
      </c>
      <c r="G155" s="34"/>
      <c r="H155" s="66">
        <v>0</v>
      </c>
      <c r="I155" s="66">
        <v>0</v>
      </c>
      <c r="J155" s="66">
        <v>0</v>
      </c>
      <c r="K155" s="86">
        <v>0</v>
      </c>
      <c r="L155" s="8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34"/>
      <c r="AA155" s="66">
        <v>0</v>
      </c>
      <c r="AB155" s="60">
        <v>0</v>
      </c>
      <c r="AC155" s="34"/>
      <c r="AD155" s="66">
        <v>0</v>
      </c>
      <c r="AE155" s="60">
        <v>0</v>
      </c>
    </row>
    <row r="156" spans="1:31" ht="18" customHeight="1" collapsed="1" x14ac:dyDescent="0.2">
      <c r="A156" s="35"/>
      <c r="B156" s="35"/>
      <c r="C156" s="4">
        <v>0</v>
      </c>
      <c r="D156" s="4">
        <v>0</v>
      </c>
      <c r="F156" s="106" t="s">
        <v>69</v>
      </c>
      <c r="H156" s="61">
        <v>0</v>
      </c>
      <c r="I156" s="61">
        <v>0</v>
      </c>
      <c r="J156" s="61">
        <v>0</v>
      </c>
      <c r="K156" s="86">
        <v>0</v>
      </c>
      <c r="L156" s="86">
        <v>0</v>
      </c>
      <c r="M156" s="61">
        <v>0</v>
      </c>
      <c r="N156" s="61">
        <v>0</v>
      </c>
      <c r="O156" s="61">
        <v>0</v>
      </c>
      <c r="P156" s="61">
        <v>0</v>
      </c>
      <c r="Q156" s="61">
        <v>0</v>
      </c>
      <c r="R156" s="61">
        <v>0</v>
      </c>
      <c r="S156" s="61">
        <v>0</v>
      </c>
      <c r="T156" s="61">
        <v>0</v>
      </c>
      <c r="U156" s="61">
        <v>0</v>
      </c>
      <c r="V156" s="61">
        <v>0</v>
      </c>
      <c r="W156" s="61">
        <v>0</v>
      </c>
      <c r="X156" s="61">
        <v>0</v>
      </c>
      <c r="Y156" s="61">
        <v>0</v>
      </c>
      <c r="AA156" s="61">
        <v>0</v>
      </c>
      <c r="AB156" s="60">
        <v>0</v>
      </c>
      <c r="AD156" s="61">
        <v>0</v>
      </c>
      <c r="AE156" s="60">
        <v>0</v>
      </c>
    </row>
    <row r="157" spans="1:31" ht="18" customHeight="1" x14ac:dyDescent="0.2">
      <c r="A157" s="35"/>
      <c r="B157" s="35"/>
      <c r="C157" s="4">
        <v>0.52369047619047626</v>
      </c>
      <c r="D157" s="4">
        <v>0.3710108473510455</v>
      </c>
      <c r="F157" s="95" t="s">
        <v>276</v>
      </c>
      <c r="H157" s="64">
        <v>-366.34599999999995</v>
      </c>
      <c r="I157" s="64">
        <v>-104.517</v>
      </c>
      <c r="J157" s="64">
        <v>-104.517</v>
      </c>
      <c r="K157" s="89">
        <v>-84</v>
      </c>
      <c r="L157" s="89">
        <v>-63.61</v>
      </c>
      <c r="M157" s="64">
        <v>-2.8080000000000003</v>
      </c>
      <c r="N157" s="64">
        <v>-12.081</v>
      </c>
      <c r="O157" s="64">
        <v>-2.3550000000000009</v>
      </c>
      <c r="P157" s="64">
        <v>2.5920000000000005</v>
      </c>
      <c r="Q157" s="64">
        <v>-1.1229999999999993</v>
      </c>
      <c r="R157" s="64">
        <v>-2.6920000000000011</v>
      </c>
      <c r="S157" s="64">
        <v>-2.6409999999999982</v>
      </c>
      <c r="T157" s="64">
        <v>-6.5900000000000025</v>
      </c>
      <c r="U157" s="64">
        <v>-2.9719999999999995</v>
      </c>
      <c r="V157" s="64">
        <v>-9.8499999999999979</v>
      </c>
      <c r="W157" s="64">
        <v>-13.677000000000003</v>
      </c>
      <c r="X157" s="64">
        <v>14.186</v>
      </c>
      <c r="Y157" s="64">
        <v>-40.011000000000003</v>
      </c>
      <c r="AA157" s="64">
        <v>-84</v>
      </c>
      <c r="AB157" s="60">
        <v>43.99</v>
      </c>
      <c r="AD157" s="64">
        <v>-63.609999999999992</v>
      </c>
      <c r="AE157" s="60">
        <v>23.6</v>
      </c>
    </row>
    <row r="158" spans="1:31" ht="12.95" customHeight="1" x14ac:dyDescent="0.2">
      <c r="A158" s="35"/>
      <c r="B158" s="35"/>
      <c r="C158" s="4"/>
      <c r="D158" s="4"/>
      <c r="F158" s="39" t="s">
        <v>223</v>
      </c>
      <c r="H158" s="56">
        <v>5.419324336678405E-2</v>
      </c>
      <c r="I158" s="56">
        <v>1.5117329727363888E-2</v>
      </c>
      <c r="J158" s="56">
        <v>1.5117329727363888E-2</v>
      </c>
      <c r="K158" s="109">
        <v>1.4226953098139216E-2</v>
      </c>
      <c r="L158" s="109">
        <v>1.0302370776185893E-2</v>
      </c>
      <c r="M158" s="56">
        <v>5.1206489073031252E-3</v>
      </c>
      <c r="N158" s="56">
        <v>2.5373802037717306E-2</v>
      </c>
      <c r="O158" s="56">
        <v>4.7468067394577573E-3</v>
      </c>
      <c r="P158" s="56">
        <v>-5.0384003079022412E-3</v>
      </c>
      <c r="Q158" s="56">
        <v>2.0241929814758387E-3</v>
      </c>
      <c r="R158" s="56">
        <v>4.8933532557522384E-3</v>
      </c>
      <c r="S158" s="56">
        <v>5.4489222852874908E-3</v>
      </c>
      <c r="T158" s="56">
        <v>1.2964427499537702E-2</v>
      </c>
      <c r="U158" s="56">
        <v>5.8333071632697929E-3</v>
      </c>
      <c r="V158" s="56">
        <v>1.9687242666751936E-2</v>
      </c>
      <c r="W158" s="56">
        <v>2.5607707963160264E-2</v>
      </c>
      <c r="X158" s="56">
        <v>-2.5801171292422966E-2</v>
      </c>
      <c r="Y158" s="56">
        <v>6.4257047461661141E-3</v>
      </c>
      <c r="AA158" s="56">
        <v>1.4226953098139216E-2</v>
      </c>
      <c r="AB158" s="57"/>
      <c r="AD158" s="56">
        <v>1.0302370776185892E-2</v>
      </c>
      <c r="AE158" s="57"/>
    </row>
    <row r="159" spans="1:31" ht="6.95" customHeight="1" x14ac:dyDescent="0.2">
      <c r="C159" s="4"/>
      <c r="D159" s="4"/>
      <c r="F159" s="96"/>
      <c r="H159" s="16"/>
      <c r="I159" s="16"/>
      <c r="J159" s="16"/>
      <c r="K159" s="85"/>
      <c r="L159" s="85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AA159" s="16"/>
      <c r="AB159" s="20"/>
      <c r="AD159" s="16"/>
      <c r="AE159" s="20"/>
    </row>
    <row r="160" spans="1:31" ht="18" customHeight="1" x14ac:dyDescent="0.2">
      <c r="A160" s="30" t="s">
        <v>89</v>
      </c>
      <c r="B160" s="30" t="s">
        <v>18</v>
      </c>
      <c r="C160" s="4">
        <v>0.54500000000000004</v>
      </c>
      <c r="D160" s="4">
        <v>0.09</v>
      </c>
      <c r="F160" s="106" t="s">
        <v>187</v>
      </c>
      <c r="H160" s="61">
        <v>-1.365</v>
      </c>
      <c r="I160" s="61">
        <v>-1.714</v>
      </c>
      <c r="J160" s="61">
        <v>-1.714</v>
      </c>
      <c r="K160" s="86">
        <v>-2</v>
      </c>
      <c r="L160" s="86">
        <v>-1</v>
      </c>
      <c r="M160" s="61">
        <v>-1.9E-2</v>
      </c>
      <c r="N160" s="61">
        <v>-3.9000000000000007E-2</v>
      </c>
      <c r="O160" s="61">
        <v>-9.3999999999999986E-2</v>
      </c>
      <c r="P160" s="61">
        <v>-8.3999999999999991E-2</v>
      </c>
      <c r="Q160" s="61">
        <v>-0.14900000000000002</v>
      </c>
      <c r="R160" s="61">
        <v>-0.11699999999999999</v>
      </c>
      <c r="S160" s="61">
        <v>-1.0000000000000009E-2</v>
      </c>
      <c r="T160" s="61">
        <v>-0.11599999999999999</v>
      </c>
      <c r="U160" s="61">
        <v>-0.126</v>
      </c>
      <c r="V160" s="61">
        <v>-0.15800000000000003</v>
      </c>
      <c r="W160" s="61">
        <v>0</v>
      </c>
      <c r="X160" s="61">
        <v>0</v>
      </c>
      <c r="Y160" s="61">
        <v>-0.91200000000000003</v>
      </c>
      <c r="AA160" s="61">
        <v>-2</v>
      </c>
      <c r="AB160" s="60">
        <v>1.0900000000000001</v>
      </c>
      <c r="AD160" s="61">
        <v>-1</v>
      </c>
      <c r="AE160" s="60">
        <v>0.09</v>
      </c>
    </row>
    <row r="161" spans="1:31" ht="18" customHeight="1" x14ac:dyDescent="0.2">
      <c r="A161" s="30" t="s">
        <v>75</v>
      </c>
      <c r="B161" s="30" t="s">
        <v>18</v>
      </c>
      <c r="C161" s="4">
        <v>0.6</v>
      </c>
      <c r="D161" s="4">
        <v>0.6</v>
      </c>
      <c r="F161" s="106" t="s">
        <v>94</v>
      </c>
      <c r="H161" s="61">
        <v>0.377</v>
      </c>
      <c r="I161" s="61">
        <v>-0.61799999999999999</v>
      </c>
      <c r="J161" s="61">
        <v>-0.61799999999999999</v>
      </c>
      <c r="K161" s="86">
        <v>-2</v>
      </c>
      <c r="L161" s="86">
        <v>-2</v>
      </c>
      <c r="M161" s="61">
        <v>0</v>
      </c>
      <c r="N161" s="61">
        <v>-0.03</v>
      </c>
      <c r="O161" s="61">
        <v>-0.69599999999999995</v>
      </c>
      <c r="P161" s="61">
        <v>0</v>
      </c>
      <c r="Q161" s="61">
        <v>0</v>
      </c>
      <c r="R161" s="61">
        <v>0</v>
      </c>
      <c r="S161" s="61">
        <v>-5.600000000000005E-2</v>
      </c>
      <c r="T161" s="61">
        <v>0</v>
      </c>
      <c r="U161" s="61">
        <v>0</v>
      </c>
      <c r="V161" s="61">
        <v>0</v>
      </c>
      <c r="W161" s="61">
        <v>-2.1000000000000019E-2</v>
      </c>
      <c r="X161" s="61">
        <v>0</v>
      </c>
      <c r="Y161" s="61">
        <v>-0.80300000000000005</v>
      </c>
      <c r="AA161" s="61">
        <v>-2</v>
      </c>
      <c r="AB161" s="60">
        <v>1.2</v>
      </c>
      <c r="AD161" s="61">
        <v>-2</v>
      </c>
      <c r="AE161" s="60">
        <v>1.2</v>
      </c>
    </row>
    <row r="162" spans="1:31" ht="18" customHeight="1" x14ac:dyDescent="0.2">
      <c r="A162" s="30" t="s">
        <v>91</v>
      </c>
      <c r="B162" s="30" t="s">
        <v>18</v>
      </c>
      <c r="C162" s="4">
        <v>-2.135593220338983E-2</v>
      </c>
      <c r="D162" s="4">
        <v>-2.135593220338983E-2</v>
      </c>
      <c r="F162" s="106" t="s">
        <v>96</v>
      </c>
      <c r="H162" s="61">
        <v>-34.97</v>
      </c>
      <c r="I162" s="61">
        <v>-67.328000000000003</v>
      </c>
      <c r="J162" s="61">
        <v>-67.328000000000003</v>
      </c>
      <c r="K162" s="86">
        <v>-59</v>
      </c>
      <c r="L162" s="86">
        <v>-59</v>
      </c>
      <c r="M162" s="61">
        <v>-4.8600000000000003</v>
      </c>
      <c r="N162" s="61">
        <v>-6.3049999999999988</v>
      </c>
      <c r="O162" s="61">
        <v>-7.495000000000001</v>
      </c>
      <c r="P162" s="61">
        <v>-5.1189999999999998</v>
      </c>
      <c r="Q162" s="61">
        <v>-3.6129999999999995</v>
      </c>
      <c r="R162" s="61">
        <v>-4.0210000000000008</v>
      </c>
      <c r="S162" s="61">
        <v>-4.5089999999999968</v>
      </c>
      <c r="T162" s="61">
        <v>-4.615000000000002</v>
      </c>
      <c r="U162" s="61">
        <v>-4.0870000000000033</v>
      </c>
      <c r="V162" s="61">
        <v>-5.3789999999999978</v>
      </c>
      <c r="W162" s="61">
        <v>-5.2430000000000021</v>
      </c>
      <c r="X162" s="61">
        <v>-5.0180000000000007</v>
      </c>
      <c r="Y162" s="61">
        <v>-60.264000000000003</v>
      </c>
      <c r="AA162" s="61">
        <v>-59</v>
      </c>
      <c r="AB162" s="60">
        <v>-1.26</v>
      </c>
      <c r="AD162" s="61">
        <v>-59</v>
      </c>
      <c r="AE162" s="60">
        <v>-1.26</v>
      </c>
    </row>
    <row r="163" spans="1:31" ht="18" customHeight="1" x14ac:dyDescent="0.2">
      <c r="A163" s="30" t="s">
        <v>74</v>
      </c>
      <c r="B163" s="30" t="s">
        <v>18</v>
      </c>
      <c r="C163" s="4">
        <v>0.15047619047619049</v>
      </c>
      <c r="D163" s="4">
        <v>-4.9411764705882349E-2</v>
      </c>
      <c r="F163" s="106" t="s">
        <v>97</v>
      </c>
      <c r="H163" s="61">
        <v>-9.1419999999999995</v>
      </c>
      <c r="I163" s="61">
        <v>-10.55</v>
      </c>
      <c r="J163" s="61">
        <v>-10.55</v>
      </c>
      <c r="K163" s="86">
        <v>-10.5</v>
      </c>
      <c r="L163" s="86">
        <v>-8.5</v>
      </c>
      <c r="M163" s="61">
        <v>-0.60699999999999998</v>
      </c>
      <c r="N163" s="61">
        <v>-0.69199999999999995</v>
      </c>
      <c r="O163" s="61">
        <v>-0.71099999999999985</v>
      </c>
      <c r="P163" s="61">
        <v>-0.71300000000000008</v>
      </c>
      <c r="Q163" s="61">
        <v>-0.68599999999999994</v>
      </c>
      <c r="R163" s="61">
        <v>-0.73399999999999999</v>
      </c>
      <c r="S163" s="61">
        <v>-0.79</v>
      </c>
      <c r="T163" s="61">
        <v>-0.82200000000000006</v>
      </c>
      <c r="U163" s="61">
        <v>-0.8230000000000004</v>
      </c>
      <c r="V163" s="61">
        <v>-0.83999999999999986</v>
      </c>
      <c r="W163" s="61">
        <v>-0.79300000000000015</v>
      </c>
      <c r="X163" s="61">
        <v>-0.70599999999999952</v>
      </c>
      <c r="Y163" s="61">
        <v>-8.9169999999999998</v>
      </c>
      <c r="AA163" s="61">
        <v>-10.5</v>
      </c>
      <c r="AB163" s="60">
        <v>1.58</v>
      </c>
      <c r="AD163" s="61">
        <v>-8.5</v>
      </c>
      <c r="AE163" s="60">
        <v>-0.42</v>
      </c>
    </row>
    <row r="164" spans="1:31" ht="18" customHeight="1" x14ac:dyDescent="0.2">
      <c r="A164" s="30" t="s">
        <v>92</v>
      </c>
      <c r="B164" s="30" t="s">
        <v>18</v>
      </c>
      <c r="C164" s="4">
        <v>-4.7988187523071248E-2</v>
      </c>
      <c r="D164" s="4">
        <v>0.13169984686064318</v>
      </c>
      <c r="F164" s="106" t="s">
        <v>98</v>
      </c>
      <c r="H164" s="61">
        <v>-5.806</v>
      </c>
      <c r="I164" s="61">
        <v>-5.5839999999999996</v>
      </c>
      <c r="J164" s="61">
        <v>-5.5839999999999996</v>
      </c>
      <c r="K164" s="86">
        <v>-2.7090000000000001</v>
      </c>
      <c r="L164" s="86">
        <v>-3.2650000000000001</v>
      </c>
      <c r="M164" s="61">
        <v>-0.41099999999999998</v>
      </c>
      <c r="N164" s="61">
        <v>-0.38200000000000006</v>
      </c>
      <c r="O164" s="61">
        <v>-0.43899999999999995</v>
      </c>
      <c r="P164" s="61">
        <v>-0.30499999999999994</v>
      </c>
      <c r="Q164" s="61">
        <v>-0.14000000000000012</v>
      </c>
      <c r="R164" s="61">
        <v>-0.13300000000000001</v>
      </c>
      <c r="S164" s="61">
        <v>-0.1339999999999999</v>
      </c>
      <c r="T164" s="61">
        <v>-0.25700000000000012</v>
      </c>
      <c r="U164" s="61">
        <v>-0.15899999999999981</v>
      </c>
      <c r="V164" s="61">
        <v>-0.15900000000000025</v>
      </c>
      <c r="W164" s="61">
        <v>-0.15899999999999981</v>
      </c>
      <c r="X164" s="61">
        <v>-0.15900000000000025</v>
      </c>
      <c r="Y164" s="61">
        <v>-2.8370000000000002</v>
      </c>
      <c r="AA164" s="61">
        <v>-2.7090000000000001</v>
      </c>
      <c r="AB164" s="60">
        <v>-0.13</v>
      </c>
      <c r="AD164" s="61">
        <v>-3.2650000000000001</v>
      </c>
      <c r="AE164" s="60">
        <v>0.43</v>
      </c>
    </row>
    <row r="165" spans="1:31" ht="18" customHeight="1" x14ac:dyDescent="0.2">
      <c r="A165" s="30" t="s">
        <v>125</v>
      </c>
      <c r="B165" s="30" t="s">
        <v>18</v>
      </c>
      <c r="C165" s="4">
        <v>0</v>
      </c>
      <c r="D165" s="4">
        <v>0</v>
      </c>
      <c r="F165" s="106" t="s">
        <v>126</v>
      </c>
      <c r="H165" s="61">
        <v>0</v>
      </c>
      <c r="I165" s="61">
        <v>-1.018</v>
      </c>
      <c r="J165" s="61">
        <v>-1.018</v>
      </c>
      <c r="K165" s="86">
        <v>0</v>
      </c>
      <c r="L165" s="86">
        <v>0</v>
      </c>
      <c r="M165" s="61">
        <v>0</v>
      </c>
      <c r="N165" s="61">
        <v>0</v>
      </c>
      <c r="O165" s="61">
        <v>0</v>
      </c>
      <c r="P165" s="61">
        <v>0</v>
      </c>
      <c r="Q165" s="61">
        <v>0</v>
      </c>
      <c r="R165" s="61">
        <v>0</v>
      </c>
      <c r="S165" s="61">
        <v>0</v>
      </c>
      <c r="T165" s="61">
        <v>0</v>
      </c>
      <c r="U165" s="61">
        <v>0</v>
      </c>
      <c r="V165" s="61">
        <v>0</v>
      </c>
      <c r="W165" s="61">
        <v>0</v>
      </c>
      <c r="X165" s="61">
        <v>0</v>
      </c>
      <c r="Y165" s="61">
        <v>0</v>
      </c>
      <c r="AA165" s="61">
        <v>0</v>
      </c>
      <c r="AB165" s="60">
        <v>0</v>
      </c>
      <c r="AD165" s="61">
        <v>0</v>
      </c>
      <c r="AE165" s="60">
        <v>0</v>
      </c>
    </row>
    <row r="166" spans="1:31" ht="18" hidden="1" customHeight="1" outlineLevel="1" x14ac:dyDescent="0.2">
      <c r="A166" s="30" t="s">
        <v>73</v>
      </c>
      <c r="B166" s="30" t="s">
        <v>18</v>
      </c>
      <c r="C166" s="4">
        <v>0</v>
      </c>
      <c r="D166" s="4">
        <v>0</v>
      </c>
      <c r="F166" s="38" t="s">
        <v>72</v>
      </c>
      <c r="G166" s="34"/>
      <c r="H166" s="66">
        <v>0</v>
      </c>
      <c r="I166" s="66">
        <v>0</v>
      </c>
      <c r="J166" s="66">
        <v>0</v>
      </c>
      <c r="K166" s="86">
        <v>0</v>
      </c>
      <c r="L166" s="8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34"/>
      <c r="AA166" s="66">
        <v>0</v>
      </c>
      <c r="AB166" s="60">
        <v>0</v>
      </c>
      <c r="AC166" s="34"/>
      <c r="AD166" s="66">
        <v>0</v>
      </c>
      <c r="AE166" s="60">
        <v>0</v>
      </c>
    </row>
    <row r="167" spans="1:31" ht="18" hidden="1" customHeight="1" outlineLevel="1" x14ac:dyDescent="0.2">
      <c r="A167" s="30" t="s">
        <v>129</v>
      </c>
      <c r="B167" s="30" t="s">
        <v>18</v>
      </c>
      <c r="C167" s="4">
        <v>0</v>
      </c>
      <c r="D167" s="4">
        <v>0</v>
      </c>
      <c r="F167" s="38" t="s">
        <v>190</v>
      </c>
      <c r="G167" s="34"/>
      <c r="H167" s="66">
        <v>0</v>
      </c>
      <c r="I167" s="66">
        <v>0</v>
      </c>
      <c r="J167" s="66">
        <v>0</v>
      </c>
      <c r="K167" s="86">
        <v>0</v>
      </c>
      <c r="L167" s="8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34"/>
      <c r="AA167" s="66">
        <v>0</v>
      </c>
      <c r="AB167" s="60">
        <v>0</v>
      </c>
      <c r="AC167" s="34"/>
      <c r="AD167" s="66">
        <v>0</v>
      </c>
      <c r="AE167" s="60">
        <v>0</v>
      </c>
    </row>
    <row r="168" spans="1:31" ht="18" hidden="1" customHeight="1" outlineLevel="1" x14ac:dyDescent="0.2">
      <c r="A168" s="30" t="s">
        <v>172</v>
      </c>
      <c r="B168" s="30" t="s">
        <v>18</v>
      </c>
      <c r="C168" s="4">
        <v>0</v>
      </c>
      <c r="D168" s="4">
        <v>0</v>
      </c>
      <c r="F168" s="38" t="s">
        <v>173</v>
      </c>
      <c r="G168" s="34"/>
      <c r="H168" s="66">
        <v>0</v>
      </c>
      <c r="I168" s="66">
        <v>0</v>
      </c>
      <c r="J168" s="66">
        <v>0</v>
      </c>
      <c r="K168" s="86">
        <v>0</v>
      </c>
      <c r="L168" s="86">
        <v>0</v>
      </c>
      <c r="M168" s="66">
        <v>0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34"/>
      <c r="AA168" s="66">
        <v>0</v>
      </c>
      <c r="AB168" s="60">
        <v>0</v>
      </c>
      <c r="AC168" s="34"/>
      <c r="AD168" s="66">
        <v>0</v>
      </c>
      <c r="AE168" s="60">
        <v>0</v>
      </c>
    </row>
    <row r="169" spans="1:31" ht="18" hidden="1" customHeight="1" outlineLevel="1" x14ac:dyDescent="0.2">
      <c r="A169" s="30" t="s">
        <v>88</v>
      </c>
      <c r="B169" s="30" t="s">
        <v>18</v>
      </c>
      <c r="C169" s="4">
        <v>0</v>
      </c>
      <c r="D169" s="4">
        <v>0</v>
      </c>
      <c r="F169" s="38" t="s">
        <v>93</v>
      </c>
      <c r="G169" s="34"/>
      <c r="H169" s="66">
        <v>0</v>
      </c>
      <c r="I169" s="66">
        <v>0</v>
      </c>
      <c r="J169" s="66">
        <v>0</v>
      </c>
      <c r="K169" s="86">
        <v>0</v>
      </c>
      <c r="L169" s="8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34"/>
      <c r="AA169" s="66">
        <v>0</v>
      </c>
      <c r="AB169" s="60">
        <v>0</v>
      </c>
      <c r="AC169" s="34"/>
      <c r="AD169" s="66">
        <v>0</v>
      </c>
      <c r="AE169" s="60">
        <v>0</v>
      </c>
    </row>
    <row r="170" spans="1:31" ht="18" hidden="1" customHeight="1" outlineLevel="1" x14ac:dyDescent="0.2">
      <c r="A170" s="30" t="s">
        <v>174</v>
      </c>
      <c r="B170" s="30" t="s">
        <v>18</v>
      </c>
      <c r="C170" s="4">
        <v>0</v>
      </c>
      <c r="D170" s="4">
        <v>0</v>
      </c>
      <c r="F170" s="38" t="s">
        <v>175</v>
      </c>
      <c r="G170" s="34"/>
      <c r="H170" s="66">
        <v>0</v>
      </c>
      <c r="I170" s="66">
        <v>0</v>
      </c>
      <c r="J170" s="66">
        <v>0</v>
      </c>
      <c r="K170" s="86">
        <v>0</v>
      </c>
      <c r="L170" s="8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34"/>
      <c r="AA170" s="66">
        <v>0</v>
      </c>
      <c r="AB170" s="60">
        <v>0</v>
      </c>
      <c r="AC170" s="34"/>
      <c r="AD170" s="66">
        <v>0</v>
      </c>
      <c r="AE170" s="60">
        <v>0</v>
      </c>
    </row>
    <row r="171" spans="1:31" ht="18" hidden="1" customHeight="1" outlineLevel="1" x14ac:dyDescent="0.2">
      <c r="A171" s="30" t="s">
        <v>130</v>
      </c>
      <c r="B171" s="30" t="s">
        <v>18</v>
      </c>
      <c r="C171" s="4">
        <v>0</v>
      </c>
      <c r="D171" s="4">
        <v>0</v>
      </c>
      <c r="F171" s="38" t="s">
        <v>176</v>
      </c>
      <c r="G171" s="34"/>
      <c r="H171" s="66">
        <v>0</v>
      </c>
      <c r="I171" s="66">
        <v>0</v>
      </c>
      <c r="J171" s="66">
        <v>0</v>
      </c>
      <c r="K171" s="86">
        <v>0</v>
      </c>
      <c r="L171" s="8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34"/>
      <c r="AA171" s="66">
        <v>0</v>
      </c>
      <c r="AB171" s="60">
        <v>0</v>
      </c>
      <c r="AC171" s="34"/>
      <c r="AD171" s="66">
        <v>0</v>
      </c>
      <c r="AE171" s="60">
        <v>0</v>
      </c>
    </row>
    <row r="172" spans="1:31" ht="18" hidden="1" customHeight="1" outlineLevel="1" x14ac:dyDescent="0.2">
      <c r="A172" s="30" t="s">
        <v>177</v>
      </c>
      <c r="B172" s="30" t="s">
        <v>18</v>
      </c>
      <c r="C172" s="4">
        <v>0</v>
      </c>
      <c r="D172" s="4">
        <v>0</v>
      </c>
      <c r="F172" s="38" t="s">
        <v>178</v>
      </c>
      <c r="G172" s="34"/>
      <c r="H172" s="66">
        <v>0</v>
      </c>
      <c r="I172" s="66">
        <v>0</v>
      </c>
      <c r="J172" s="66">
        <v>0</v>
      </c>
      <c r="K172" s="86">
        <v>0</v>
      </c>
      <c r="L172" s="8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34"/>
      <c r="AA172" s="66">
        <v>0</v>
      </c>
      <c r="AB172" s="60">
        <v>0</v>
      </c>
      <c r="AC172" s="34"/>
      <c r="AD172" s="66">
        <v>0</v>
      </c>
      <c r="AE172" s="60">
        <v>0</v>
      </c>
    </row>
    <row r="173" spans="1:31" ht="18" hidden="1" customHeight="1" outlineLevel="1" x14ac:dyDescent="0.2">
      <c r="A173" s="30" t="s">
        <v>179</v>
      </c>
      <c r="B173" s="30" t="s">
        <v>18</v>
      </c>
      <c r="C173" s="4">
        <v>0</v>
      </c>
      <c r="D173" s="4">
        <v>0</v>
      </c>
      <c r="F173" s="38" t="s">
        <v>180</v>
      </c>
      <c r="G173" s="34"/>
      <c r="H173" s="66">
        <v>0</v>
      </c>
      <c r="I173" s="66">
        <v>0</v>
      </c>
      <c r="J173" s="66">
        <v>0</v>
      </c>
      <c r="K173" s="86">
        <v>0</v>
      </c>
      <c r="L173" s="8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34"/>
      <c r="AA173" s="66">
        <v>0</v>
      </c>
      <c r="AB173" s="60">
        <v>0</v>
      </c>
      <c r="AC173" s="34"/>
      <c r="AD173" s="66">
        <v>0</v>
      </c>
      <c r="AE173" s="60">
        <v>0</v>
      </c>
    </row>
    <row r="174" spans="1:31" ht="18" hidden="1" customHeight="1" outlineLevel="1" x14ac:dyDescent="0.2">
      <c r="A174" s="30" t="s">
        <v>78</v>
      </c>
      <c r="B174" s="30" t="s">
        <v>18</v>
      </c>
      <c r="C174" s="4">
        <v>0</v>
      </c>
      <c r="D174" s="4">
        <v>0</v>
      </c>
      <c r="F174" s="38" t="s">
        <v>77</v>
      </c>
      <c r="G174" s="34"/>
      <c r="H174" s="66">
        <v>0</v>
      </c>
      <c r="I174" s="66">
        <v>0</v>
      </c>
      <c r="J174" s="66">
        <v>0</v>
      </c>
      <c r="K174" s="86">
        <v>0</v>
      </c>
      <c r="L174" s="8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34"/>
      <c r="AA174" s="66">
        <v>0</v>
      </c>
      <c r="AB174" s="60">
        <v>0</v>
      </c>
      <c r="AC174" s="34"/>
      <c r="AD174" s="66">
        <v>0</v>
      </c>
      <c r="AE174" s="60">
        <v>0</v>
      </c>
    </row>
    <row r="175" spans="1:31" ht="18" hidden="1" customHeight="1" outlineLevel="1" x14ac:dyDescent="0.2">
      <c r="A175" s="30" t="s">
        <v>193</v>
      </c>
      <c r="B175" s="30" t="s">
        <v>18</v>
      </c>
      <c r="C175" s="4">
        <v>0</v>
      </c>
      <c r="D175" s="4">
        <v>0</v>
      </c>
      <c r="F175" s="38" t="s">
        <v>268</v>
      </c>
      <c r="G175" s="34"/>
      <c r="H175" s="66">
        <v>0</v>
      </c>
      <c r="I175" s="66">
        <v>0</v>
      </c>
      <c r="J175" s="66">
        <v>0</v>
      </c>
      <c r="K175" s="86">
        <v>0</v>
      </c>
      <c r="L175" s="8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34"/>
      <c r="AA175" s="66">
        <v>0</v>
      </c>
      <c r="AB175" s="60">
        <v>0</v>
      </c>
      <c r="AC175" s="34"/>
      <c r="AD175" s="66">
        <v>0</v>
      </c>
      <c r="AE175" s="60">
        <v>0</v>
      </c>
    </row>
    <row r="176" spans="1:31" ht="18" hidden="1" customHeight="1" outlineLevel="1" x14ac:dyDescent="0.2">
      <c r="A176" s="30" t="s">
        <v>181</v>
      </c>
      <c r="B176" s="30" t="s">
        <v>18</v>
      </c>
      <c r="C176" s="4">
        <v>0</v>
      </c>
      <c r="D176" s="4">
        <v>0</v>
      </c>
      <c r="F176" s="38" t="s">
        <v>182</v>
      </c>
      <c r="G176" s="34"/>
      <c r="H176" s="66">
        <v>0</v>
      </c>
      <c r="I176" s="66">
        <v>0</v>
      </c>
      <c r="J176" s="66">
        <v>0</v>
      </c>
      <c r="K176" s="86">
        <v>0</v>
      </c>
      <c r="L176" s="8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34"/>
      <c r="AA176" s="66">
        <v>0</v>
      </c>
      <c r="AB176" s="60">
        <v>0</v>
      </c>
      <c r="AC176" s="34"/>
      <c r="AD176" s="66">
        <v>0</v>
      </c>
      <c r="AE176" s="60">
        <v>0</v>
      </c>
    </row>
    <row r="177" spans="1:31" ht="18" hidden="1" customHeight="1" outlineLevel="1" x14ac:dyDescent="0.2">
      <c r="A177" s="30" t="s">
        <v>90</v>
      </c>
      <c r="B177" s="30" t="s">
        <v>18</v>
      </c>
      <c r="C177" s="4">
        <v>0</v>
      </c>
      <c r="D177" s="4">
        <v>0</v>
      </c>
      <c r="F177" s="38" t="s">
        <v>95</v>
      </c>
      <c r="G177" s="34"/>
      <c r="H177" s="66">
        <v>0</v>
      </c>
      <c r="I177" s="66">
        <v>0</v>
      </c>
      <c r="J177" s="66">
        <v>0</v>
      </c>
      <c r="K177" s="86">
        <v>0</v>
      </c>
      <c r="L177" s="86">
        <v>0</v>
      </c>
      <c r="M177" s="66">
        <v>0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34"/>
      <c r="AA177" s="66">
        <v>0</v>
      </c>
      <c r="AB177" s="60">
        <v>0</v>
      </c>
      <c r="AC177" s="34"/>
      <c r="AD177" s="66">
        <v>0</v>
      </c>
      <c r="AE177" s="60">
        <v>0</v>
      </c>
    </row>
    <row r="178" spans="1:31" ht="18" hidden="1" customHeight="1" outlineLevel="1" x14ac:dyDescent="0.2">
      <c r="A178" s="30" t="s">
        <v>127</v>
      </c>
      <c r="B178" s="30" t="s">
        <v>18</v>
      </c>
      <c r="C178" s="4">
        <v>-1</v>
      </c>
      <c r="D178" s="4">
        <v>0.4</v>
      </c>
      <c r="F178" s="38" t="s">
        <v>128</v>
      </c>
      <c r="G178" s="34"/>
      <c r="H178" s="66">
        <v>0</v>
      </c>
      <c r="I178" s="66">
        <v>0</v>
      </c>
      <c r="J178" s="66">
        <v>0</v>
      </c>
      <c r="K178" s="86">
        <v>0</v>
      </c>
      <c r="L178" s="86">
        <v>-0.5</v>
      </c>
      <c r="M178" s="66">
        <v>0</v>
      </c>
      <c r="N178" s="66">
        <v>-0.3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-0.3</v>
      </c>
      <c r="Z178" s="34"/>
      <c r="AA178" s="66">
        <v>0</v>
      </c>
      <c r="AB178" s="60">
        <v>-0.3</v>
      </c>
      <c r="AC178" s="34"/>
      <c r="AD178" s="66">
        <v>-0.5</v>
      </c>
      <c r="AE178" s="60">
        <v>0.2</v>
      </c>
    </row>
    <row r="179" spans="1:31" s="209" customFormat="1" ht="18" hidden="1" customHeight="1" outlineLevel="1" x14ac:dyDescent="0.2">
      <c r="A179" s="234" t="s">
        <v>261</v>
      </c>
      <c r="B179" s="210" t="s">
        <v>18</v>
      </c>
      <c r="C179" s="208">
        <v>0</v>
      </c>
      <c r="D179" s="208">
        <v>0</v>
      </c>
      <c r="F179" s="225" t="s">
        <v>262</v>
      </c>
      <c r="G179" s="211"/>
      <c r="H179" s="215">
        <v>0</v>
      </c>
      <c r="I179" s="215">
        <v>0</v>
      </c>
      <c r="J179" s="215">
        <v>0</v>
      </c>
      <c r="K179" s="216">
        <v>0</v>
      </c>
      <c r="L179" s="216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  <c r="R179" s="215">
        <v>0</v>
      </c>
      <c r="S179" s="215">
        <v>0</v>
      </c>
      <c r="T179" s="215">
        <v>0</v>
      </c>
      <c r="U179" s="215">
        <v>0</v>
      </c>
      <c r="V179" s="215">
        <v>0</v>
      </c>
      <c r="W179" s="215">
        <v>0</v>
      </c>
      <c r="X179" s="215">
        <v>0</v>
      </c>
      <c r="Y179" s="215">
        <v>0</v>
      </c>
      <c r="Z179" s="211"/>
      <c r="AA179" s="215">
        <v>0</v>
      </c>
      <c r="AB179" s="214">
        <v>0</v>
      </c>
      <c r="AC179" s="211"/>
      <c r="AD179" s="215">
        <v>0</v>
      </c>
      <c r="AE179" s="214">
        <v>0</v>
      </c>
    </row>
    <row r="180" spans="1:31" ht="18" hidden="1" customHeight="1" outlineLevel="1" x14ac:dyDescent="0.2">
      <c r="A180" s="30" t="s">
        <v>199</v>
      </c>
      <c r="B180" s="30" t="s">
        <v>18</v>
      </c>
      <c r="C180" s="4">
        <v>0</v>
      </c>
      <c r="D180" s="4">
        <v>0</v>
      </c>
      <c r="F180" s="38" t="s">
        <v>184</v>
      </c>
      <c r="G180" s="34"/>
      <c r="H180" s="66">
        <v>0</v>
      </c>
      <c r="I180" s="66">
        <v>0</v>
      </c>
      <c r="J180" s="66">
        <v>0</v>
      </c>
      <c r="K180" s="86">
        <v>0</v>
      </c>
      <c r="L180" s="8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34"/>
      <c r="AA180" s="66">
        <v>0</v>
      </c>
      <c r="AB180" s="60">
        <v>0</v>
      </c>
      <c r="AC180" s="34"/>
      <c r="AD180" s="66">
        <v>0</v>
      </c>
      <c r="AE180" s="60">
        <v>0</v>
      </c>
    </row>
    <row r="181" spans="1:31" ht="18" hidden="1" customHeight="1" outlineLevel="1" x14ac:dyDescent="0.2">
      <c r="A181" s="30" t="s">
        <v>263</v>
      </c>
      <c r="B181" s="30" t="s">
        <v>18</v>
      </c>
      <c r="C181" s="4">
        <v>0</v>
      </c>
      <c r="D181" s="4">
        <v>0</v>
      </c>
      <c r="F181" s="38" t="s">
        <v>273</v>
      </c>
      <c r="G181" s="34"/>
      <c r="H181" s="66">
        <v>0</v>
      </c>
      <c r="I181" s="66">
        <v>0</v>
      </c>
      <c r="J181" s="66">
        <v>0</v>
      </c>
      <c r="K181" s="86">
        <v>0</v>
      </c>
      <c r="L181" s="8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34"/>
      <c r="AA181" s="66">
        <v>0</v>
      </c>
      <c r="AB181" s="60">
        <v>0</v>
      </c>
      <c r="AC181" s="34"/>
      <c r="AD181" s="66">
        <v>0</v>
      </c>
      <c r="AE181" s="60">
        <v>0</v>
      </c>
    </row>
    <row r="182" spans="1:31" ht="18" hidden="1" customHeight="1" outlineLevel="1" x14ac:dyDescent="0.2">
      <c r="A182" s="30" t="s">
        <v>195</v>
      </c>
      <c r="B182" s="30" t="s">
        <v>18</v>
      </c>
      <c r="C182" s="4">
        <v>0</v>
      </c>
      <c r="D182" s="4">
        <v>0</v>
      </c>
      <c r="F182" s="38" t="s">
        <v>196</v>
      </c>
      <c r="G182" s="34"/>
      <c r="H182" s="66">
        <v>0</v>
      </c>
      <c r="I182" s="66">
        <v>0</v>
      </c>
      <c r="J182" s="66">
        <v>0</v>
      </c>
      <c r="K182" s="86">
        <v>0</v>
      </c>
      <c r="L182" s="8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34"/>
      <c r="AA182" s="66">
        <v>0</v>
      </c>
      <c r="AB182" s="60">
        <v>0</v>
      </c>
      <c r="AC182" s="34"/>
      <c r="AD182" s="66">
        <v>0</v>
      </c>
      <c r="AE182" s="60">
        <v>0</v>
      </c>
    </row>
    <row r="183" spans="1:31" ht="18" hidden="1" customHeight="1" outlineLevel="1" x14ac:dyDescent="0.2">
      <c r="A183" s="30" t="s">
        <v>197</v>
      </c>
      <c r="B183" s="30" t="s">
        <v>18</v>
      </c>
      <c r="C183" s="4">
        <v>0</v>
      </c>
      <c r="D183" s="4">
        <v>0</v>
      </c>
      <c r="F183" s="38" t="s">
        <v>267</v>
      </c>
      <c r="G183" s="34"/>
      <c r="H183" s="66">
        <v>0</v>
      </c>
      <c r="I183" s="66">
        <v>0</v>
      </c>
      <c r="J183" s="66">
        <v>0</v>
      </c>
      <c r="K183" s="86">
        <v>0</v>
      </c>
      <c r="L183" s="8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34"/>
      <c r="AA183" s="66">
        <v>0</v>
      </c>
      <c r="AB183" s="60">
        <v>0</v>
      </c>
      <c r="AC183" s="34"/>
      <c r="AD183" s="66">
        <v>0</v>
      </c>
      <c r="AE183" s="60">
        <v>0</v>
      </c>
    </row>
    <row r="184" spans="1:31" s="237" customFormat="1" ht="18" hidden="1" customHeight="1" outlineLevel="1" x14ac:dyDescent="0.2">
      <c r="A184" s="254" t="s">
        <v>445</v>
      </c>
      <c r="B184" s="238" t="s">
        <v>18</v>
      </c>
      <c r="C184" s="236">
        <v>-0.99821746880570406</v>
      </c>
      <c r="D184" s="236">
        <v>0.25333333333333335</v>
      </c>
      <c r="F184" s="250" t="s">
        <v>444</v>
      </c>
      <c r="G184" s="239"/>
      <c r="H184" s="241">
        <v>0</v>
      </c>
      <c r="I184" s="241">
        <v>0</v>
      </c>
      <c r="J184" s="241">
        <v>0</v>
      </c>
      <c r="K184" s="242">
        <v>0</v>
      </c>
      <c r="L184" s="242">
        <v>-0.75</v>
      </c>
      <c r="M184" s="241">
        <v>0</v>
      </c>
      <c r="N184" s="241">
        <v>0</v>
      </c>
      <c r="O184" s="241">
        <v>0</v>
      </c>
      <c r="P184" s="241">
        <v>0</v>
      </c>
      <c r="Q184" s="241">
        <v>0</v>
      </c>
      <c r="R184" s="241">
        <v>0</v>
      </c>
      <c r="S184" s="241">
        <v>0</v>
      </c>
      <c r="T184" s="241">
        <v>-0.56100000000000005</v>
      </c>
      <c r="U184" s="241">
        <v>0</v>
      </c>
      <c r="V184" s="241">
        <v>0</v>
      </c>
      <c r="W184" s="241">
        <v>0</v>
      </c>
      <c r="X184" s="241">
        <v>0</v>
      </c>
      <c r="Y184" s="241">
        <v>-0.56100000000000005</v>
      </c>
      <c r="Z184" s="239"/>
      <c r="AA184" s="241">
        <v>0</v>
      </c>
      <c r="AB184" s="240">
        <v>-0.56000000000000005</v>
      </c>
      <c r="AC184" s="239"/>
      <c r="AD184" s="241">
        <v>-0.75</v>
      </c>
      <c r="AE184" s="240">
        <v>0.19</v>
      </c>
    </row>
    <row r="185" spans="1:31" ht="18" hidden="1" customHeight="1" outlineLevel="1" x14ac:dyDescent="0.2">
      <c r="A185" s="30" t="s">
        <v>257</v>
      </c>
      <c r="B185" s="30" t="s">
        <v>18</v>
      </c>
      <c r="C185" s="4">
        <v>0</v>
      </c>
      <c r="D185" s="4">
        <v>0</v>
      </c>
      <c r="F185" s="104" t="s">
        <v>260</v>
      </c>
      <c r="G185" s="36"/>
      <c r="H185" s="65">
        <v>0</v>
      </c>
      <c r="I185" s="65">
        <v>0</v>
      </c>
      <c r="J185" s="65">
        <v>0</v>
      </c>
      <c r="K185" s="90">
        <v>0</v>
      </c>
      <c r="L185" s="90">
        <v>0</v>
      </c>
      <c r="M185" s="65">
        <v>0</v>
      </c>
      <c r="N185" s="65">
        <v>0</v>
      </c>
      <c r="O185" s="65">
        <v>0</v>
      </c>
      <c r="P185" s="65">
        <v>0</v>
      </c>
      <c r="Q185" s="65">
        <v>0</v>
      </c>
      <c r="R185" s="65">
        <v>0</v>
      </c>
      <c r="S185" s="65">
        <v>0</v>
      </c>
      <c r="T185" s="65">
        <v>0</v>
      </c>
      <c r="U185" s="65">
        <v>0</v>
      </c>
      <c r="V185" s="65">
        <v>0</v>
      </c>
      <c r="W185" s="65">
        <v>0</v>
      </c>
      <c r="X185" s="65">
        <v>0</v>
      </c>
      <c r="Y185" s="65">
        <v>0</v>
      </c>
      <c r="Z185" s="36"/>
      <c r="AA185" s="65">
        <v>0</v>
      </c>
      <c r="AB185" s="60">
        <v>0</v>
      </c>
      <c r="AC185" s="36"/>
      <c r="AD185" s="65">
        <v>0</v>
      </c>
      <c r="AE185" s="60">
        <v>0</v>
      </c>
    </row>
    <row r="186" spans="1:31" ht="18" hidden="1" customHeight="1" outlineLevel="1" x14ac:dyDescent="0.2">
      <c r="A186" s="30" t="s">
        <v>200</v>
      </c>
      <c r="B186" s="30" t="s">
        <v>18</v>
      </c>
      <c r="C186" s="4">
        <v>0</v>
      </c>
      <c r="D186" s="4">
        <v>0</v>
      </c>
      <c r="F186" s="104" t="s">
        <v>183</v>
      </c>
      <c r="G186" s="36"/>
      <c r="H186" s="65">
        <v>0</v>
      </c>
      <c r="I186" s="65">
        <v>0</v>
      </c>
      <c r="J186" s="65">
        <v>0</v>
      </c>
      <c r="K186" s="90">
        <v>0</v>
      </c>
      <c r="L186" s="90">
        <v>0</v>
      </c>
      <c r="M186" s="65">
        <v>0</v>
      </c>
      <c r="N186" s="65">
        <v>0</v>
      </c>
      <c r="O186" s="65">
        <v>0</v>
      </c>
      <c r="P186" s="65">
        <v>0</v>
      </c>
      <c r="Q186" s="65">
        <v>0</v>
      </c>
      <c r="R186" s="65">
        <v>0</v>
      </c>
      <c r="S186" s="65">
        <v>0</v>
      </c>
      <c r="T186" s="65">
        <v>0</v>
      </c>
      <c r="U186" s="65">
        <v>0</v>
      </c>
      <c r="V186" s="65">
        <v>0</v>
      </c>
      <c r="W186" s="65">
        <v>0</v>
      </c>
      <c r="X186" s="65">
        <v>0</v>
      </c>
      <c r="Y186" s="65">
        <v>0</v>
      </c>
      <c r="Z186" s="36"/>
      <c r="AA186" s="65">
        <v>0</v>
      </c>
      <c r="AB186" s="60">
        <v>0</v>
      </c>
      <c r="AC186" s="36"/>
      <c r="AD186" s="65">
        <v>0</v>
      </c>
      <c r="AE186" s="60">
        <v>0</v>
      </c>
    </row>
    <row r="187" spans="1:31" ht="18" hidden="1" customHeight="1" outlineLevel="1" x14ac:dyDescent="0.2">
      <c r="A187" s="30" t="s">
        <v>256</v>
      </c>
      <c r="B187" s="30" t="s">
        <v>18</v>
      </c>
      <c r="C187" s="4">
        <v>0</v>
      </c>
      <c r="D187" s="4">
        <v>0</v>
      </c>
      <c r="F187" s="104" t="s">
        <v>259</v>
      </c>
      <c r="G187" s="36"/>
      <c r="H187" s="65">
        <v>0</v>
      </c>
      <c r="I187" s="65">
        <v>0</v>
      </c>
      <c r="J187" s="65">
        <v>0</v>
      </c>
      <c r="K187" s="90">
        <v>0</v>
      </c>
      <c r="L187" s="90">
        <v>0</v>
      </c>
      <c r="M187" s="65">
        <v>0</v>
      </c>
      <c r="N187" s="65">
        <v>0</v>
      </c>
      <c r="O187" s="65">
        <v>0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36"/>
      <c r="AA187" s="65">
        <v>0</v>
      </c>
      <c r="AB187" s="60">
        <v>0</v>
      </c>
      <c r="AC187" s="36"/>
      <c r="AD187" s="65">
        <v>0</v>
      </c>
      <c r="AE187" s="60">
        <v>0</v>
      </c>
    </row>
    <row r="188" spans="1:31" ht="18" hidden="1" customHeight="1" outlineLevel="1" x14ac:dyDescent="0.2">
      <c r="A188" s="30" t="s">
        <v>185</v>
      </c>
      <c r="B188" s="30" t="s">
        <v>18</v>
      </c>
      <c r="C188" s="4">
        <v>0</v>
      </c>
      <c r="D188" s="4">
        <v>0</v>
      </c>
      <c r="F188" s="38" t="s">
        <v>186</v>
      </c>
      <c r="G188" s="34"/>
      <c r="H188" s="66">
        <v>0</v>
      </c>
      <c r="I188" s="66">
        <v>0</v>
      </c>
      <c r="J188" s="66">
        <v>0</v>
      </c>
      <c r="K188" s="86">
        <v>0</v>
      </c>
      <c r="L188" s="86">
        <v>0</v>
      </c>
      <c r="M188" s="66">
        <v>0</v>
      </c>
      <c r="N188" s="66">
        <v>0</v>
      </c>
      <c r="O188" s="66">
        <v>0</v>
      </c>
      <c r="P188" s="66">
        <v>0</v>
      </c>
      <c r="Q188" s="66">
        <v>0</v>
      </c>
      <c r="R188" s="66">
        <v>0</v>
      </c>
      <c r="S188" s="66">
        <v>0</v>
      </c>
      <c r="T188" s="66">
        <v>0</v>
      </c>
      <c r="U188" s="66">
        <v>0</v>
      </c>
      <c r="V188" s="66">
        <v>0</v>
      </c>
      <c r="W188" s="66">
        <v>0</v>
      </c>
      <c r="X188" s="66">
        <v>0</v>
      </c>
      <c r="Y188" s="66">
        <v>0</v>
      </c>
      <c r="Z188" s="34"/>
      <c r="AA188" s="66">
        <v>0</v>
      </c>
      <c r="AB188" s="60">
        <v>0</v>
      </c>
      <c r="AC188" s="34"/>
      <c r="AD188" s="66">
        <v>0</v>
      </c>
      <c r="AE188" s="60">
        <v>0</v>
      </c>
    </row>
    <row r="189" spans="1:31" ht="18" customHeight="1" collapsed="1" x14ac:dyDescent="0.2">
      <c r="A189" s="35"/>
      <c r="B189" s="35"/>
      <c r="C189" s="4">
        <v>-0.99883855981416958</v>
      </c>
      <c r="D189" s="4">
        <v>0.312</v>
      </c>
      <c r="F189" s="106" t="s">
        <v>188</v>
      </c>
      <c r="H189" s="61">
        <v>0</v>
      </c>
      <c r="I189" s="61">
        <v>0</v>
      </c>
      <c r="J189" s="61">
        <v>0</v>
      </c>
      <c r="K189" s="86">
        <v>0</v>
      </c>
      <c r="L189" s="86">
        <v>-1.25</v>
      </c>
      <c r="M189" s="61">
        <v>0</v>
      </c>
      <c r="N189" s="61">
        <v>-0.3</v>
      </c>
      <c r="O189" s="61">
        <v>0</v>
      </c>
      <c r="P189" s="61">
        <v>0</v>
      </c>
      <c r="Q189" s="61">
        <v>0</v>
      </c>
      <c r="R189" s="61">
        <v>0</v>
      </c>
      <c r="S189" s="61">
        <v>0</v>
      </c>
      <c r="T189" s="61">
        <v>-0.56100000000000005</v>
      </c>
      <c r="U189" s="61">
        <v>0</v>
      </c>
      <c r="V189" s="61">
        <v>0</v>
      </c>
      <c r="W189" s="61">
        <v>0</v>
      </c>
      <c r="X189" s="61">
        <v>0</v>
      </c>
      <c r="Y189" s="61">
        <v>-0.86099999999999999</v>
      </c>
      <c r="AA189" s="61">
        <v>0</v>
      </c>
      <c r="AB189" s="60">
        <v>-0.86</v>
      </c>
      <c r="AD189" s="61">
        <v>-1.25</v>
      </c>
      <c r="AE189" s="60">
        <v>0.39</v>
      </c>
    </row>
    <row r="190" spans="1:31" ht="18" customHeight="1" x14ac:dyDescent="0.2">
      <c r="A190" s="35"/>
      <c r="B190" s="35"/>
      <c r="C190" s="4">
        <v>2.112611371360338E-2</v>
      </c>
      <c r="D190" s="4">
        <v>5.5988802239552091E-3</v>
      </c>
      <c r="F190" s="95" t="s">
        <v>87</v>
      </c>
      <c r="H190" s="64">
        <v>-50.905999999999992</v>
      </c>
      <c r="I190" s="64">
        <v>-86.811999999999998</v>
      </c>
      <c r="J190" s="64">
        <v>-86.811999999999998</v>
      </c>
      <c r="K190" s="89">
        <v>-76.209000000000003</v>
      </c>
      <c r="L190" s="89">
        <v>-75.015000000000001</v>
      </c>
      <c r="M190" s="64">
        <v>-5.8970000000000002</v>
      </c>
      <c r="N190" s="64">
        <v>-7.7479999999999984</v>
      </c>
      <c r="O190" s="64">
        <v>-9.4350000000000005</v>
      </c>
      <c r="P190" s="64">
        <v>-6.2209999999999992</v>
      </c>
      <c r="Q190" s="64">
        <v>-4.5879999999999992</v>
      </c>
      <c r="R190" s="64">
        <v>-5.0050000000000008</v>
      </c>
      <c r="S190" s="64">
        <v>-5.498999999999997</v>
      </c>
      <c r="T190" s="64">
        <v>-6.3710000000000022</v>
      </c>
      <c r="U190" s="64">
        <v>-5.1950000000000038</v>
      </c>
      <c r="V190" s="64">
        <v>-6.5359999999999978</v>
      </c>
      <c r="W190" s="64">
        <v>-6.216000000000002</v>
      </c>
      <c r="X190" s="64">
        <v>-5.8830000000000009</v>
      </c>
      <c r="Y190" s="64">
        <v>-74.594000000000008</v>
      </c>
      <c r="AA190" s="64">
        <v>-76.209000000000003</v>
      </c>
      <c r="AB190" s="60">
        <v>1.61</v>
      </c>
      <c r="AD190" s="64">
        <v>-75.015000000000001</v>
      </c>
      <c r="AE190" s="60">
        <v>0.42</v>
      </c>
    </row>
    <row r="191" spans="1:31" ht="12.95" customHeight="1" x14ac:dyDescent="0.2">
      <c r="A191" s="35"/>
      <c r="B191" s="35"/>
      <c r="C191" s="4"/>
      <c r="D191" s="4"/>
      <c r="F191" s="39" t="s">
        <v>223</v>
      </c>
      <c r="H191" s="56">
        <v>7.5304800566391022E-3</v>
      </c>
      <c r="I191" s="56">
        <v>1.25564800778047E-2</v>
      </c>
      <c r="J191" s="56">
        <v>1.25564800778047E-2</v>
      </c>
      <c r="K191" s="109">
        <v>1.2907403198286805E-2</v>
      </c>
      <c r="L191" s="109">
        <v>1.2149541640867548E-2</v>
      </c>
      <c r="M191" s="56">
        <v>1.0753727423919703E-2</v>
      </c>
      <c r="N191" s="56">
        <v>1.6273174256123967E-2</v>
      </c>
      <c r="O191" s="56">
        <v>1.9017461395661964E-2</v>
      </c>
      <c r="P191" s="56">
        <v>1.2092549504421232E-2</v>
      </c>
      <c r="Q191" s="56">
        <v>8.2698106847828596E-3</v>
      </c>
      <c r="R191" s="56">
        <v>9.0977834491233096E-3</v>
      </c>
      <c r="S191" s="56">
        <v>1.1345559881407011E-2</v>
      </c>
      <c r="T191" s="56">
        <v>1.2533591441510577E-2</v>
      </c>
      <c r="U191" s="56">
        <v>1.0196511007128735E-2</v>
      </c>
      <c r="V191" s="56">
        <v>1.3063534829430521E-2</v>
      </c>
      <c r="W191" s="56">
        <v>1.1638335358558471E-2</v>
      </c>
      <c r="X191" s="56">
        <v>1.0699865410497979E-2</v>
      </c>
      <c r="Y191" s="56">
        <v>1.1979681083589891E-2</v>
      </c>
      <c r="AA191" s="56">
        <v>1.2907403198286805E-2</v>
      </c>
      <c r="AB191" s="57"/>
      <c r="AD191" s="56">
        <v>1.2149541640867548E-2</v>
      </c>
      <c r="AE191" s="57"/>
    </row>
    <row r="192" spans="1:31" ht="6.95" customHeight="1" x14ac:dyDescent="0.2">
      <c r="C192" s="4"/>
      <c r="D192" s="4"/>
      <c r="F192" s="96"/>
      <c r="H192" s="16"/>
      <c r="I192" s="16"/>
      <c r="J192" s="16"/>
      <c r="K192" s="85"/>
      <c r="L192" s="85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AA192" s="16"/>
      <c r="AB192" s="20"/>
      <c r="AD192" s="16"/>
      <c r="AE192" s="20"/>
    </row>
    <row r="193" spans="1:31" s="40" customFormat="1" ht="18" customHeight="1" x14ac:dyDescent="0.2">
      <c r="A193" s="35"/>
      <c r="B193" s="35"/>
      <c r="C193" s="4">
        <v>-5.3830836808526114E-2</v>
      </c>
      <c r="D193" s="4">
        <v>1.4267605973258464E-2</v>
      </c>
      <c r="E193" s="8"/>
      <c r="F193" s="100" t="s">
        <v>277</v>
      </c>
      <c r="G193" s="8"/>
      <c r="H193" s="62">
        <v>-4324.0199999999995</v>
      </c>
      <c r="I193" s="62">
        <v>-4204.3320000000003</v>
      </c>
      <c r="J193" s="62">
        <v>-4204.3320000000003</v>
      </c>
      <c r="K193" s="108">
        <v>-3611.6845199999998</v>
      </c>
      <c r="L193" s="108">
        <v>-3861.1943799999999</v>
      </c>
      <c r="M193" s="62">
        <v>-330.43900000000002</v>
      </c>
      <c r="N193" s="62">
        <v>-341.06300000000005</v>
      </c>
      <c r="O193" s="62">
        <v>-343.20499999999998</v>
      </c>
      <c r="P193" s="62">
        <v>-331.75</v>
      </c>
      <c r="Q193" s="62">
        <v>-289.59000000000009</v>
      </c>
      <c r="R193" s="62">
        <v>-344.18799999999993</v>
      </c>
      <c r="S193" s="62">
        <v>-252.22299999999993</v>
      </c>
      <c r="T193" s="62">
        <v>-246.00500000000008</v>
      </c>
      <c r="U193" s="62">
        <v>-317.82700000000011</v>
      </c>
      <c r="V193" s="62">
        <v>-352.46999999999991</v>
      </c>
      <c r="W193" s="62">
        <v>-340.04699999999997</v>
      </c>
      <c r="X193" s="62">
        <v>-317.29499999999985</v>
      </c>
      <c r="Y193" s="62">
        <v>-3806.1019999999994</v>
      </c>
      <c r="Z193" s="8"/>
      <c r="AA193" s="62">
        <v>-3611.6845200000002</v>
      </c>
      <c r="AB193" s="60">
        <v>-194.42</v>
      </c>
      <c r="AC193" s="8"/>
      <c r="AD193" s="62">
        <v>-3861.1943799999995</v>
      </c>
      <c r="AE193" s="60">
        <v>55.09</v>
      </c>
    </row>
    <row r="194" spans="1:31" ht="12.95" customHeight="1" x14ac:dyDescent="0.2">
      <c r="A194" s="35"/>
      <c r="B194" s="35"/>
      <c r="C194" s="4"/>
      <c r="D194" s="4"/>
      <c r="F194" s="39" t="s">
        <v>223</v>
      </c>
      <c r="H194" s="56">
        <v>0.63964849672943491</v>
      </c>
      <c r="I194" s="56">
        <v>0.60811421230333129</v>
      </c>
      <c r="J194" s="56">
        <v>0.60811421230333129</v>
      </c>
      <c r="K194" s="109">
        <v>0.61170555084899336</v>
      </c>
      <c r="L194" s="109">
        <v>0.62536481908010078</v>
      </c>
      <c r="M194" s="56">
        <v>0.60258621947305457</v>
      </c>
      <c r="N194" s="56">
        <v>0.71633681354109591</v>
      </c>
      <c r="O194" s="56">
        <v>0.69177401571787644</v>
      </c>
      <c r="P194" s="56">
        <v>0.64486469990222539</v>
      </c>
      <c r="Q194" s="56">
        <v>0.52198223108244768</v>
      </c>
      <c r="R194" s="56">
        <v>0.62564393402334717</v>
      </c>
      <c r="S194" s="56">
        <v>0.52038755227643596</v>
      </c>
      <c r="T194" s="56">
        <v>0.48396266874412325</v>
      </c>
      <c r="U194" s="56">
        <v>0.6238164588763625</v>
      </c>
      <c r="V194" s="56">
        <v>0.70448349469543703</v>
      </c>
      <c r="W194" s="56">
        <v>0.63667648385967357</v>
      </c>
      <c r="X194" s="56">
        <v>0.5770888654468731</v>
      </c>
      <c r="Y194" s="56">
        <v>0.61125409726805957</v>
      </c>
      <c r="AA194" s="56">
        <v>0.61170555084899347</v>
      </c>
      <c r="AB194" s="57"/>
      <c r="AD194" s="56">
        <v>0.62536481908010066</v>
      </c>
      <c r="AE194" s="57"/>
    </row>
    <row r="195" spans="1:31" ht="6.95" customHeight="1" x14ac:dyDescent="0.2">
      <c r="C195" s="4"/>
      <c r="D195" s="4"/>
      <c r="F195" s="96"/>
      <c r="H195" s="16"/>
      <c r="I195" s="16"/>
      <c r="J195" s="16"/>
      <c r="K195" s="85"/>
      <c r="L195" s="85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AA195" s="16"/>
      <c r="AB195" s="20"/>
      <c r="AD195" s="16"/>
      <c r="AE195" s="20"/>
    </row>
    <row r="196" spans="1:31" ht="18" customHeight="1" x14ac:dyDescent="0.2">
      <c r="A196" s="35"/>
      <c r="B196" s="35"/>
      <c r="C196" s="4">
        <v>3.2120191289028439E-2</v>
      </c>
      <c r="D196" s="4">
        <v>5.500157853198627E-2</v>
      </c>
      <c r="F196" s="101" t="s">
        <v>278</v>
      </c>
      <c r="H196" s="77">
        <v>2350.1830000000009</v>
      </c>
      <c r="I196" s="77">
        <v>2637.5339999999997</v>
      </c>
      <c r="J196" s="77">
        <v>2637.5339999999997</v>
      </c>
      <c r="K196" s="114">
        <v>2302.6014800000003</v>
      </c>
      <c r="L196" s="114">
        <v>2252.662620000001</v>
      </c>
      <c r="M196" s="77">
        <v>206.20699999999994</v>
      </c>
      <c r="N196" s="77">
        <v>134.6269999999999</v>
      </c>
      <c r="O196" s="77">
        <v>103.36800000000005</v>
      </c>
      <c r="P196" s="77">
        <v>205.29900000000009</v>
      </c>
      <c r="Q196" s="77">
        <v>260.19599999999997</v>
      </c>
      <c r="R196" s="77">
        <v>216.59999999999985</v>
      </c>
      <c r="S196" s="77">
        <v>225.51200000000031</v>
      </c>
      <c r="T196" s="77">
        <v>234.72399999999951</v>
      </c>
      <c r="U196" s="77">
        <v>194.17099999999982</v>
      </c>
      <c r="V196" s="77">
        <v>152.90300000000019</v>
      </c>
      <c r="W196" s="77">
        <v>199.99899999999997</v>
      </c>
      <c r="X196" s="77">
        <v>242.96000000000026</v>
      </c>
      <c r="Y196" s="77">
        <v>2376.5660000000012</v>
      </c>
      <c r="AA196" s="77">
        <v>2302.6014800000003</v>
      </c>
      <c r="AB196" s="60">
        <v>73.959999999999994</v>
      </c>
      <c r="AD196" s="77">
        <v>2252.662620000001</v>
      </c>
      <c r="AE196" s="60">
        <v>123.9</v>
      </c>
    </row>
    <row r="197" spans="1:31" ht="12.95" customHeight="1" x14ac:dyDescent="0.2">
      <c r="A197" s="35"/>
      <c r="B197" s="35"/>
      <c r="C197" s="4"/>
      <c r="D197" s="4"/>
      <c r="F197" s="39" t="s">
        <v>223</v>
      </c>
      <c r="H197" s="56">
        <v>0.34766051567501405</v>
      </c>
      <c r="I197" s="56">
        <v>0.38149268678906761</v>
      </c>
      <c r="J197" s="56">
        <v>0.38149268678906761</v>
      </c>
      <c r="K197" s="109">
        <v>0.38998813404364224</v>
      </c>
      <c r="L197" s="109">
        <v>0.36484460847184969</v>
      </c>
      <c r="M197" s="56">
        <v>0.3760376243690367</v>
      </c>
      <c r="N197" s="56">
        <v>0.28275795438554469</v>
      </c>
      <c r="O197" s="56">
        <v>0.20835155798058153</v>
      </c>
      <c r="P197" s="56">
        <v>0.39906579660957658</v>
      </c>
      <c r="Q197" s="56">
        <v>0.46899992609802993</v>
      </c>
      <c r="R197" s="56">
        <v>0.39372225675926215</v>
      </c>
      <c r="S197" s="56">
        <v>0.46527730496014963</v>
      </c>
      <c r="T197" s="56">
        <v>0.46176969353588465</v>
      </c>
      <c r="U197" s="56">
        <v>0.38111005558521471</v>
      </c>
      <c r="V197" s="56">
        <v>0.30560796603800766</v>
      </c>
      <c r="W197" s="56">
        <v>0.3744619423063601</v>
      </c>
      <c r="X197" s="56">
        <v>0.44189007311483791</v>
      </c>
      <c r="Y197" s="56">
        <v>0.38167282561738081</v>
      </c>
      <c r="AA197" s="56">
        <v>0.38998813404364224</v>
      </c>
      <c r="AB197" s="57"/>
      <c r="AD197" s="56">
        <v>0.36484460847184969</v>
      </c>
      <c r="AE197" s="57"/>
    </row>
    <row r="198" spans="1:31" ht="6.95" customHeight="1" x14ac:dyDescent="0.2">
      <c r="C198" s="4"/>
      <c r="D198" s="4"/>
      <c r="F198" s="96"/>
      <c r="H198" s="16"/>
      <c r="I198" s="16"/>
      <c r="J198" s="16"/>
      <c r="K198" s="85"/>
      <c r="L198" s="85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AA198" s="16"/>
      <c r="AB198" s="20"/>
      <c r="AD198" s="16"/>
      <c r="AE198" s="20"/>
    </row>
    <row r="199" spans="1:31" ht="18" hidden="1" customHeight="1" outlineLevel="1" x14ac:dyDescent="0.2">
      <c r="A199" s="30" t="s">
        <v>36</v>
      </c>
      <c r="B199" s="30" t="s">
        <v>243</v>
      </c>
      <c r="C199" s="4"/>
      <c r="D199" s="4"/>
      <c r="F199" s="51" t="s">
        <v>246</v>
      </c>
      <c r="G199" s="34"/>
      <c r="H199" s="72">
        <v>0.98</v>
      </c>
      <c r="I199" s="72">
        <v>0.89699999999999991</v>
      </c>
      <c r="J199" s="72">
        <v>0.89700000000000002</v>
      </c>
      <c r="K199" s="111">
        <v>2</v>
      </c>
      <c r="L199" s="111">
        <v>0.77700000000000002</v>
      </c>
      <c r="M199" s="72">
        <v>0.32400000000000001</v>
      </c>
      <c r="N199" s="72">
        <v>0</v>
      </c>
      <c r="O199" s="72">
        <v>0</v>
      </c>
      <c r="P199" s="72">
        <v>0</v>
      </c>
      <c r="Q199" s="72">
        <v>0</v>
      </c>
      <c r="R199" s="72">
        <v>0</v>
      </c>
      <c r="S199" s="72">
        <v>0</v>
      </c>
      <c r="T199" s="72">
        <v>0</v>
      </c>
      <c r="U199" s="72">
        <v>0</v>
      </c>
      <c r="V199" s="72">
        <v>0</v>
      </c>
      <c r="W199" s="72">
        <v>0</v>
      </c>
      <c r="X199" s="72">
        <v>0</v>
      </c>
      <c r="Y199" s="72">
        <v>2.7E-2</v>
      </c>
      <c r="Z199" s="34"/>
      <c r="AA199" s="72">
        <v>2</v>
      </c>
      <c r="AB199" s="73">
        <v>-1.97</v>
      </c>
      <c r="AC199" s="34"/>
      <c r="AD199" s="72">
        <v>0.77700000000000002</v>
      </c>
      <c r="AE199" s="73">
        <v>-0.75</v>
      </c>
    </row>
    <row r="200" spans="1:31" ht="18" hidden="1" customHeight="1" outlineLevel="1" x14ac:dyDescent="0.2">
      <c r="A200" s="30" t="s">
        <v>36</v>
      </c>
      <c r="B200" s="30" t="s">
        <v>244</v>
      </c>
      <c r="C200" s="4"/>
      <c r="D200" s="4"/>
      <c r="F200" s="51" t="s">
        <v>247</v>
      </c>
      <c r="G200" s="34"/>
      <c r="H200" s="72">
        <v>1</v>
      </c>
      <c r="I200" s="72">
        <v>0.33200000000000002</v>
      </c>
      <c r="J200" s="72">
        <v>0.33200000000000002</v>
      </c>
      <c r="K200" s="111">
        <v>1</v>
      </c>
      <c r="L200" s="111">
        <v>0</v>
      </c>
      <c r="M200" s="72">
        <v>0</v>
      </c>
      <c r="N200" s="72">
        <v>0</v>
      </c>
      <c r="O200" s="72">
        <v>0</v>
      </c>
      <c r="P200" s="72">
        <v>0</v>
      </c>
      <c r="Q200" s="72">
        <v>0</v>
      </c>
      <c r="R200" s="72">
        <v>0</v>
      </c>
      <c r="S200" s="72">
        <v>0</v>
      </c>
      <c r="T200" s="72">
        <v>0</v>
      </c>
      <c r="U200" s="72">
        <v>0</v>
      </c>
      <c r="V200" s="72">
        <v>0</v>
      </c>
      <c r="W200" s="72">
        <v>0</v>
      </c>
      <c r="X200" s="72">
        <v>0</v>
      </c>
      <c r="Y200" s="72">
        <v>0</v>
      </c>
      <c r="Z200" s="34"/>
      <c r="AA200" s="72">
        <v>1</v>
      </c>
      <c r="AB200" s="73">
        <v>-1</v>
      </c>
      <c r="AC200" s="34"/>
      <c r="AD200" s="72">
        <v>0</v>
      </c>
      <c r="AE200" s="73">
        <v>0</v>
      </c>
    </row>
    <row r="201" spans="1:31" ht="18" hidden="1" customHeight="1" outlineLevel="1" x14ac:dyDescent="0.2">
      <c r="A201" s="30" t="s">
        <v>36</v>
      </c>
      <c r="B201" s="30" t="s">
        <v>245</v>
      </c>
      <c r="C201" s="4"/>
      <c r="D201" s="4"/>
      <c r="F201" s="51" t="s">
        <v>248</v>
      </c>
      <c r="G201" s="34"/>
      <c r="H201" s="72">
        <v>6.51</v>
      </c>
      <c r="I201" s="72">
        <v>6.7229999999999999</v>
      </c>
      <c r="J201" s="72">
        <v>6.7229999999999999</v>
      </c>
      <c r="K201" s="111">
        <v>6</v>
      </c>
      <c r="L201" s="111">
        <v>6.1479999999999997</v>
      </c>
      <c r="M201" s="72">
        <v>6.9239999999999995</v>
      </c>
      <c r="N201" s="72">
        <v>6.8279999999999994</v>
      </c>
      <c r="O201" s="72">
        <v>5.424000000000003</v>
      </c>
      <c r="P201" s="72">
        <v>5.34</v>
      </c>
      <c r="Q201" s="72">
        <v>5.291999999999998</v>
      </c>
      <c r="R201" s="72">
        <v>5.9280000000000044</v>
      </c>
      <c r="S201" s="72">
        <v>6.8399999999999963</v>
      </c>
      <c r="T201" s="72">
        <v>6.7440000000000069</v>
      </c>
      <c r="U201" s="72">
        <v>4.8239999999999839</v>
      </c>
      <c r="V201" s="72">
        <v>5.4720000000000084</v>
      </c>
      <c r="W201" s="72">
        <v>6.2879999999999967</v>
      </c>
      <c r="X201" s="72">
        <v>6.3119999999999976</v>
      </c>
      <c r="Y201" s="72">
        <v>6.0179999999999998</v>
      </c>
      <c r="Z201" s="34"/>
      <c r="AA201" s="72">
        <v>6</v>
      </c>
      <c r="AB201" s="73">
        <v>0.02</v>
      </c>
      <c r="AC201" s="34"/>
      <c r="AD201" s="72">
        <v>6.1479999999999997</v>
      </c>
      <c r="AE201" s="73">
        <v>-0.13</v>
      </c>
    </row>
    <row r="202" spans="1:31" ht="18" customHeight="1" collapsed="1" x14ac:dyDescent="0.2">
      <c r="A202" s="30" t="s">
        <v>36</v>
      </c>
      <c r="B202" s="30" t="s">
        <v>22</v>
      </c>
      <c r="C202" s="4"/>
      <c r="D202" s="4"/>
      <c r="F202" s="97" t="s">
        <v>250</v>
      </c>
      <c r="H202" s="74">
        <v>9.34</v>
      </c>
      <c r="I202" s="74">
        <v>8.8680000000000003</v>
      </c>
      <c r="J202" s="74">
        <v>8.8680000000000003</v>
      </c>
      <c r="K202" s="112">
        <v>9</v>
      </c>
      <c r="L202" s="112">
        <v>6.9249999999999998</v>
      </c>
      <c r="M202" s="74">
        <v>7.2479999999999993</v>
      </c>
      <c r="N202" s="74">
        <v>6.8280000000000012</v>
      </c>
      <c r="O202" s="74">
        <v>5.4239999999999995</v>
      </c>
      <c r="P202" s="74">
        <v>5.3399999999999963</v>
      </c>
      <c r="Q202" s="74">
        <v>5.2920000000000051</v>
      </c>
      <c r="R202" s="74">
        <v>5.9280000000000008</v>
      </c>
      <c r="S202" s="74">
        <v>6.8400000000000034</v>
      </c>
      <c r="T202" s="74">
        <v>6.7439999999999856</v>
      </c>
      <c r="U202" s="74">
        <v>4.8240000000000052</v>
      </c>
      <c r="V202" s="74">
        <v>5.4720000000000013</v>
      </c>
      <c r="W202" s="74">
        <v>6.2880000000000109</v>
      </c>
      <c r="X202" s="74">
        <v>6.3119999999999834</v>
      </c>
      <c r="Y202" s="74">
        <v>6.044999999999999</v>
      </c>
      <c r="AA202" s="74">
        <v>9</v>
      </c>
      <c r="AB202" s="73">
        <v>-2.96</v>
      </c>
      <c r="AD202" s="74">
        <v>6.9249999999999998</v>
      </c>
      <c r="AE202" s="73">
        <v>-0.88</v>
      </c>
    </row>
    <row r="203" spans="1:31" ht="18" hidden="1" customHeight="1" outlineLevel="1" collapsed="1" x14ac:dyDescent="0.2">
      <c r="A203" s="33" t="s">
        <v>211</v>
      </c>
      <c r="B203" s="33" t="s">
        <v>22</v>
      </c>
      <c r="C203" s="4"/>
      <c r="D203" s="4"/>
      <c r="F203" s="98" t="s">
        <v>212</v>
      </c>
      <c r="G203" s="34"/>
      <c r="H203" s="75">
        <v>10.163</v>
      </c>
      <c r="I203" s="75">
        <v>9.6910000000000007</v>
      </c>
      <c r="J203" s="75">
        <v>9.6910000000000007</v>
      </c>
      <c r="K203" s="112">
        <v>9</v>
      </c>
      <c r="L203" s="112">
        <v>6.9249999999999998</v>
      </c>
      <c r="M203" s="75">
        <v>7.476</v>
      </c>
      <c r="N203" s="75">
        <v>7.524</v>
      </c>
      <c r="O203" s="75">
        <v>6.6119999999999983</v>
      </c>
      <c r="P203" s="75">
        <v>6.480000000000004</v>
      </c>
      <c r="Q203" s="75">
        <v>6.5400000000000027</v>
      </c>
      <c r="R203" s="75">
        <v>6.9359999999999928</v>
      </c>
      <c r="S203" s="75">
        <v>7.4879999999999995</v>
      </c>
      <c r="T203" s="75">
        <v>7.5360000000000014</v>
      </c>
      <c r="U203" s="75">
        <v>5.6880000000000024</v>
      </c>
      <c r="V203" s="75">
        <v>7.0919999999999987</v>
      </c>
      <c r="W203" s="75">
        <v>7.7759999999999962</v>
      </c>
      <c r="X203" s="75">
        <v>7.980000000000004</v>
      </c>
      <c r="Y203" s="75">
        <v>7.0940000000000003</v>
      </c>
      <c r="Z203" s="34"/>
      <c r="AA203" s="75">
        <v>9</v>
      </c>
      <c r="AB203" s="76">
        <v>-1.91</v>
      </c>
      <c r="AC203" s="34"/>
      <c r="AD203" s="75">
        <v>6.9249999999999998</v>
      </c>
      <c r="AE203" s="76">
        <v>0.17</v>
      </c>
    </row>
    <row r="204" spans="1:31" ht="18" hidden="1" customHeight="1" outlineLevel="1" collapsed="1" x14ac:dyDescent="0.2">
      <c r="A204" s="35"/>
      <c r="B204" s="35"/>
      <c r="C204" s="4"/>
      <c r="D204" s="4"/>
      <c r="F204" s="97" t="s">
        <v>251</v>
      </c>
      <c r="H204" s="74">
        <v>0.8230000000000004</v>
      </c>
      <c r="I204" s="74">
        <v>0.8230000000000004</v>
      </c>
      <c r="J204" s="74">
        <v>0.8230000000000004</v>
      </c>
      <c r="K204" s="112">
        <v>0</v>
      </c>
      <c r="L204" s="112">
        <v>0</v>
      </c>
      <c r="M204" s="74">
        <v>0.22800000000000065</v>
      </c>
      <c r="N204" s="74">
        <v>0.69599999999999884</v>
      </c>
      <c r="O204" s="74">
        <v>1.1879999999999988</v>
      </c>
      <c r="P204" s="74">
        <v>1.1400000000000077</v>
      </c>
      <c r="Q204" s="74">
        <v>1.2479999999999976</v>
      </c>
      <c r="R204" s="74">
        <v>1.007999999999992</v>
      </c>
      <c r="S204" s="74">
        <v>0.64799999999999613</v>
      </c>
      <c r="T204" s="74">
        <v>0.7920000000000158</v>
      </c>
      <c r="U204" s="74">
        <v>0.86399999999999721</v>
      </c>
      <c r="V204" s="74">
        <v>1.6199999999999974</v>
      </c>
      <c r="W204" s="74">
        <v>1.4879999999999853</v>
      </c>
      <c r="X204" s="74">
        <v>1.6680000000000206</v>
      </c>
      <c r="Y204" s="74">
        <v>1.0490000000000013</v>
      </c>
      <c r="AA204" s="74">
        <v>0</v>
      </c>
      <c r="AB204" s="73">
        <v>1.05</v>
      </c>
      <c r="AD204" s="74">
        <v>0</v>
      </c>
      <c r="AE204" s="73">
        <v>1.05</v>
      </c>
    </row>
    <row r="205" spans="1:31" ht="12.95" hidden="1" customHeight="1" outlineLevel="1" x14ac:dyDescent="0.2">
      <c r="A205" s="35"/>
      <c r="B205" s="35"/>
      <c r="C205" s="4"/>
      <c r="D205" s="4"/>
      <c r="F205" s="39" t="s">
        <v>37</v>
      </c>
      <c r="H205" s="68">
        <v>8.0980025582997189E-2</v>
      </c>
      <c r="I205" s="68">
        <v>8.492415643380459E-2</v>
      </c>
      <c r="J205" s="68">
        <v>8.492415643380459E-2</v>
      </c>
      <c r="K205" s="113">
        <v>0</v>
      </c>
      <c r="L205" s="113">
        <v>0</v>
      </c>
      <c r="M205" s="68">
        <v>3.049759229534519E-2</v>
      </c>
      <c r="N205" s="68">
        <v>9.2503987240829186E-2</v>
      </c>
      <c r="O205" s="68">
        <v>0.17967332123411967</v>
      </c>
      <c r="P205" s="68">
        <v>0.17592592592592701</v>
      </c>
      <c r="Q205" s="68">
        <v>0.19082568807339403</v>
      </c>
      <c r="R205" s="68">
        <v>0.1453287197231824</v>
      </c>
      <c r="S205" s="68">
        <v>8.6538461538461023E-2</v>
      </c>
      <c r="T205" s="68">
        <v>0.10509554140127596</v>
      </c>
      <c r="U205" s="68">
        <v>0.15189873417721464</v>
      </c>
      <c r="V205" s="68">
        <v>0.22842639593908598</v>
      </c>
      <c r="W205" s="68">
        <v>0.19135802469135624</v>
      </c>
      <c r="X205" s="68">
        <v>0.20902255639097991</v>
      </c>
      <c r="Y205" s="68">
        <v>0.14787144065407404</v>
      </c>
      <c r="AA205" s="68">
        <v>0</v>
      </c>
      <c r="AB205" s="69"/>
      <c r="AD205" s="68">
        <v>0</v>
      </c>
      <c r="AE205" s="69"/>
    </row>
    <row r="206" spans="1:31" ht="18" customHeight="1" collapsed="1" x14ac:dyDescent="0.2">
      <c r="A206" s="30" t="s">
        <v>220</v>
      </c>
      <c r="B206" s="30" t="s">
        <v>22</v>
      </c>
      <c r="C206" s="4">
        <v>0.21963286138866042</v>
      </c>
      <c r="D206" s="4">
        <v>-4.9430863185850236E-2</v>
      </c>
      <c r="F206" s="106" t="s">
        <v>66</v>
      </c>
      <c r="H206" s="61">
        <v>-572.22199999999998</v>
      </c>
      <c r="I206" s="61">
        <v>-593.55100000000004</v>
      </c>
      <c r="J206" s="61">
        <v>-593.55100000000004</v>
      </c>
      <c r="K206" s="86">
        <v>-562.07435999999996</v>
      </c>
      <c r="L206" s="86">
        <v>-417.95749999999998</v>
      </c>
      <c r="M206" s="61">
        <v>-44.965000000000003</v>
      </c>
      <c r="N206" s="61">
        <v>-38.177999999999997</v>
      </c>
      <c r="O206" s="61">
        <v>-40.332999999999998</v>
      </c>
      <c r="P206" s="61">
        <v>-33.765000000000015</v>
      </c>
      <c r="Q206" s="61">
        <v>-36.138999999999982</v>
      </c>
      <c r="R206" s="61">
        <v>-42.265000000000015</v>
      </c>
      <c r="S206" s="61">
        <v>-34.148999999999972</v>
      </c>
      <c r="T206" s="61">
        <v>-42.156000000000006</v>
      </c>
      <c r="U206" s="61">
        <v>-31.119000000000028</v>
      </c>
      <c r="V206" s="61">
        <v>-26.865000000000009</v>
      </c>
      <c r="W206" s="61">
        <v>-29.491999999999962</v>
      </c>
      <c r="X206" s="61">
        <v>-39.194999999999993</v>
      </c>
      <c r="Y206" s="61">
        <v>-438.62099999999998</v>
      </c>
      <c r="AA206" s="61">
        <v>-562.07435999999996</v>
      </c>
      <c r="AB206" s="60">
        <v>123.45</v>
      </c>
      <c r="AD206" s="61">
        <v>-417.95749999999998</v>
      </c>
      <c r="AE206" s="60">
        <v>-20.66</v>
      </c>
    </row>
    <row r="207" spans="1:31" ht="18" customHeight="1" x14ac:dyDescent="0.2">
      <c r="A207" s="30" t="s">
        <v>218</v>
      </c>
      <c r="B207" s="30" t="s">
        <v>22</v>
      </c>
      <c r="C207" s="4">
        <v>1.0000947059380625</v>
      </c>
      <c r="D207" s="4">
        <v>1.0000947059380625</v>
      </c>
      <c r="F207" s="104" t="s">
        <v>219</v>
      </c>
      <c r="G207" s="36"/>
      <c r="H207" s="65">
        <v>4.452</v>
      </c>
      <c r="I207" s="65">
        <v>0.746</v>
      </c>
      <c r="J207" s="65">
        <v>0.746</v>
      </c>
      <c r="K207" s="65">
        <v>0</v>
      </c>
      <c r="L207" s="65">
        <v>0</v>
      </c>
      <c r="M207" s="65">
        <v>-3.8460000000000001</v>
      </c>
      <c r="N207" s="65">
        <v>-3.7889999999999997</v>
      </c>
      <c r="O207" s="65">
        <v>2.2000000000000002</v>
      </c>
      <c r="P207" s="65">
        <v>-1.6280000000000001</v>
      </c>
      <c r="Q207" s="65">
        <v>2.484</v>
      </c>
      <c r="R207" s="65">
        <v>0.57099999999999973</v>
      </c>
      <c r="S207" s="65">
        <v>3.9379999999999997</v>
      </c>
      <c r="T207" s="65">
        <v>15.49</v>
      </c>
      <c r="U207" s="65">
        <v>-3.1890000000000001</v>
      </c>
      <c r="V207" s="65">
        <v>-1</v>
      </c>
      <c r="W207" s="65">
        <v>-3.4699999999999998</v>
      </c>
      <c r="X207" s="65">
        <v>2.7979999999999992</v>
      </c>
      <c r="Y207" s="65">
        <v>10.558999999999999</v>
      </c>
      <c r="Z207" s="36"/>
      <c r="AA207" s="65">
        <v>0</v>
      </c>
      <c r="AB207" s="60">
        <v>10.56</v>
      </c>
      <c r="AC207" s="36"/>
      <c r="AD207" s="65">
        <v>0</v>
      </c>
      <c r="AE207" s="60">
        <v>10.56</v>
      </c>
    </row>
    <row r="208" spans="1:31" ht="18" customHeight="1" x14ac:dyDescent="0.2">
      <c r="A208" s="30" t="s">
        <v>34</v>
      </c>
      <c r="B208" s="30" t="s">
        <v>22</v>
      </c>
      <c r="C208" s="4">
        <v>0</v>
      </c>
      <c r="D208" s="4">
        <v>0</v>
      </c>
      <c r="F208" s="106" t="s">
        <v>57</v>
      </c>
      <c r="H208" s="61">
        <v>0</v>
      </c>
      <c r="I208" s="61">
        <v>0</v>
      </c>
      <c r="J208" s="61">
        <v>0</v>
      </c>
      <c r="K208" s="86">
        <v>0</v>
      </c>
      <c r="L208" s="86">
        <v>0</v>
      </c>
      <c r="M208" s="61">
        <v>0</v>
      </c>
      <c r="N208" s="61">
        <v>0</v>
      </c>
      <c r="O208" s="61">
        <v>0</v>
      </c>
      <c r="P208" s="61">
        <v>0</v>
      </c>
      <c r="Q208" s="61">
        <v>0</v>
      </c>
      <c r="R208" s="61">
        <v>0</v>
      </c>
      <c r="S208" s="61">
        <v>0</v>
      </c>
      <c r="T208" s="61">
        <v>0</v>
      </c>
      <c r="U208" s="61">
        <v>0</v>
      </c>
      <c r="V208" s="61">
        <v>0</v>
      </c>
      <c r="W208" s="61">
        <v>0</v>
      </c>
      <c r="X208" s="61">
        <v>0</v>
      </c>
      <c r="Y208" s="61">
        <v>0</v>
      </c>
      <c r="AA208" s="61">
        <v>0</v>
      </c>
      <c r="AB208" s="60">
        <v>0</v>
      </c>
      <c r="AD208" s="61">
        <v>0</v>
      </c>
      <c r="AE208" s="60">
        <v>0</v>
      </c>
    </row>
    <row r="209" spans="1:31" ht="18" customHeight="1" x14ac:dyDescent="0.2">
      <c r="A209" s="30" t="s">
        <v>221</v>
      </c>
      <c r="B209" s="30" t="s">
        <v>22</v>
      </c>
      <c r="C209" s="4">
        <v>1.0017152658662092</v>
      </c>
      <c r="D209" s="4">
        <v>0</v>
      </c>
      <c r="F209" s="106" t="s">
        <v>379</v>
      </c>
      <c r="H209" s="61">
        <v>0.76500000000000001</v>
      </c>
      <c r="I209" s="61">
        <v>0.35399999999999998</v>
      </c>
      <c r="J209" s="61">
        <v>0.35399999999999998</v>
      </c>
      <c r="K209" s="86">
        <v>0</v>
      </c>
      <c r="L209" s="86">
        <v>2.92</v>
      </c>
      <c r="M209" s="61">
        <v>0</v>
      </c>
      <c r="N209" s="61">
        <v>0</v>
      </c>
      <c r="O209" s="61">
        <v>0</v>
      </c>
      <c r="P209" s="61">
        <v>0</v>
      </c>
      <c r="Q209" s="61">
        <v>0</v>
      </c>
      <c r="R209" s="61">
        <v>0</v>
      </c>
      <c r="S209" s="61">
        <v>1.069</v>
      </c>
      <c r="T209" s="61">
        <v>1.8460000000000001</v>
      </c>
      <c r="U209" s="61">
        <v>0</v>
      </c>
      <c r="V209" s="61">
        <v>0</v>
      </c>
      <c r="W209" s="61">
        <v>0</v>
      </c>
      <c r="X209" s="61">
        <v>0</v>
      </c>
      <c r="Y209" s="61">
        <v>2.915</v>
      </c>
      <c r="AA209" s="61">
        <v>0</v>
      </c>
      <c r="AB209" s="60">
        <v>2.92</v>
      </c>
      <c r="AD209" s="61">
        <v>2.92</v>
      </c>
      <c r="AE209" s="60">
        <v>0</v>
      </c>
    </row>
    <row r="210" spans="1:31" ht="18" customHeight="1" x14ac:dyDescent="0.2">
      <c r="A210" s="30" t="s">
        <v>430</v>
      </c>
      <c r="B210" s="30" t="s">
        <v>22</v>
      </c>
      <c r="C210" s="4">
        <v>0</v>
      </c>
      <c r="D210" s="4">
        <v>0</v>
      </c>
      <c r="F210" s="106" t="s">
        <v>431</v>
      </c>
      <c r="H210" s="61">
        <v>-0.95</v>
      </c>
      <c r="I210" s="61">
        <v>0</v>
      </c>
      <c r="J210" s="61">
        <v>0</v>
      </c>
      <c r="K210" s="86">
        <v>0</v>
      </c>
      <c r="L210" s="86">
        <v>0</v>
      </c>
      <c r="M210" s="61">
        <v>0</v>
      </c>
      <c r="N210" s="61">
        <v>0</v>
      </c>
      <c r="O210" s="61">
        <v>0</v>
      </c>
      <c r="P210" s="61">
        <v>0</v>
      </c>
      <c r="Q210" s="61">
        <v>0</v>
      </c>
      <c r="R210" s="61">
        <v>0</v>
      </c>
      <c r="S210" s="61">
        <v>0</v>
      </c>
      <c r="T210" s="61">
        <v>0</v>
      </c>
      <c r="U210" s="61">
        <v>0</v>
      </c>
      <c r="V210" s="61">
        <v>0</v>
      </c>
      <c r="W210" s="61">
        <v>0</v>
      </c>
      <c r="X210" s="61">
        <v>0</v>
      </c>
      <c r="Y210" s="61">
        <v>0</v>
      </c>
      <c r="AA210" s="61">
        <v>0</v>
      </c>
      <c r="AB210" s="60">
        <v>0</v>
      </c>
      <c r="AD210" s="61">
        <v>0</v>
      </c>
      <c r="AE210" s="60">
        <v>0</v>
      </c>
    </row>
    <row r="211" spans="1:31" ht="18" customHeight="1" x14ac:dyDescent="0.2">
      <c r="A211" s="30" t="s">
        <v>35</v>
      </c>
      <c r="B211" s="30" t="s">
        <v>22</v>
      </c>
      <c r="C211" s="4">
        <v>-0.9995635093845483</v>
      </c>
      <c r="D211" s="4">
        <v>4.5833333333333337E-2</v>
      </c>
      <c r="F211" s="106" t="s">
        <v>67</v>
      </c>
      <c r="H211" s="61">
        <v>-0.85799999999999998</v>
      </c>
      <c r="I211" s="61">
        <v>-2.1040000000000001</v>
      </c>
      <c r="J211" s="61">
        <v>-2.1040000000000001</v>
      </c>
      <c r="K211" s="86">
        <v>0</v>
      </c>
      <c r="L211" s="86">
        <v>-2.4</v>
      </c>
      <c r="M211" s="61">
        <v>-0.26700000000000002</v>
      </c>
      <c r="N211" s="61">
        <v>-0.35199999999999998</v>
      </c>
      <c r="O211" s="61">
        <v>-0.35599999999999998</v>
      </c>
      <c r="P211" s="61">
        <v>-0.28799999999999992</v>
      </c>
      <c r="Q211" s="61">
        <v>8.0000000000000071E-3</v>
      </c>
      <c r="R211" s="61">
        <v>-0.42300000000000004</v>
      </c>
      <c r="S211" s="61">
        <v>-0.15700000000000003</v>
      </c>
      <c r="T211" s="61">
        <v>-0.15700000000000003</v>
      </c>
      <c r="U211" s="61">
        <v>-3.0000000000001137E-3</v>
      </c>
      <c r="V211" s="61">
        <v>-0.10499999999999998</v>
      </c>
      <c r="W211" s="61">
        <v>-6.2999999999999723E-2</v>
      </c>
      <c r="X211" s="61">
        <v>-0.12800000000000011</v>
      </c>
      <c r="Y211" s="61">
        <v>-2.2909999999999999</v>
      </c>
      <c r="AA211" s="61">
        <v>0</v>
      </c>
      <c r="AB211" s="60">
        <v>-2.29</v>
      </c>
      <c r="AD211" s="61">
        <v>-2.4</v>
      </c>
      <c r="AE211" s="60">
        <v>0.11</v>
      </c>
    </row>
    <row r="212" spans="1:31" ht="18" hidden="1" customHeight="1" outlineLevel="1" collapsed="1" x14ac:dyDescent="0.2">
      <c r="A212" s="35"/>
      <c r="B212" s="35"/>
      <c r="C212" s="4"/>
      <c r="D212" s="4"/>
      <c r="F212" s="97" t="s">
        <v>454</v>
      </c>
      <c r="H212" s="74">
        <v>0.27509090909090905</v>
      </c>
      <c r="I212" s="74">
        <v>0</v>
      </c>
      <c r="J212" s="74">
        <v>0</v>
      </c>
      <c r="K212" s="112">
        <v>0</v>
      </c>
      <c r="L212" s="112">
        <v>0.10200000000000001</v>
      </c>
      <c r="M212" s="74">
        <v>0</v>
      </c>
      <c r="N212" s="74">
        <v>0</v>
      </c>
      <c r="O212" s="74">
        <v>0</v>
      </c>
      <c r="P212" s="74">
        <v>0</v>
      </c>
      <c r="Q212" s="74">
        <v>0</v>
      </c>
      <c r="R212" s="74">
        <v>0</v>
      </c>
      <c r="S212" s="74">
        <v>0</v>
      </c>
      <c r="T212" s="74">
        <v>0</v>
      </c>
      <c r="U212" s="74">
        <v>0</v>
      </c>
      <c r="V212" s="74">
        <v>0</v>
      </c>
      <c r="W212" s="74">
        <v>1.2240000000000002</v>
      </c>
      <c r="X212" s="74">
        <v>0</v>
      </c>
      <c r="Y212" s="74">
        <v>0.10200000000000002</v>
      </c>
      <c r="AA212" s="74">
        <v>0</v>
      </c>
      <c r="AB212" s="73">
        <v>0.1</v>
      </c>
      <c r="AD212" s="74">
        <v>0.10200000000000001</v>
      </c>
      <c r="AE212" s="73">
        <v>0</v>
      </c>
    </row>
    <row r="213" spans="1:31" ht="18" customHeight="1" collapsed="1" x14ac:dyDescent="0.2">
      <c r="A213" s="30" t="s">
        <v>20</v>
      </c>
      <c r="B213" s="30" t="s">
        <v>22</v>
      </c>
      <c r="C213" s="4">
        <v>-1.000445632798574</v>
      </c>
      <c r="D213" s="4">
        <v>0</v>
      </c>
      <c r="F213" s="106" t="s">
        <v>68</v>
      </c>
      <c r="H213" s="61">
        <v>-12.103999999999999</v>
      </c>
      <c r="I213" s="61">
        <v>0</v>
      </c>
      <c r="J213" s="61">
        <v>0</v>
      </c>
      <c r="K213" s="86">
        <v>0</v>
      </c>
      <c r="L213" s="86">
        <v>-4.4880000000000004</v>
      </c>
      <c r="M213" s="61">
        <v>0</v>
      </c>
      <c r="N213" s="61">
        <v>0</v>
      </c>
      <c r="O213" s="61">
        <v>0</v>
      </c>
      <c r="P213" s="61">
        <v>0</v>
      </c>
      <c r="Q213" s="61">
        <v>0</v>
      </c>
      <c r="R213" s="61">
        <v>0</v>
      </c>
      <c r="S213" s="61">
        <v>0</v>
      </c>
      <c r="T213" s="61">
        <v>0</v>
      </c>
      <c r="U213" s="61">
        <v>0</v>
      </c>
      <c r="V213" s="61">
        <v>0</v>
      </c>
      <c r="W213" s="61">
        <v>-4.4880000000000004</v>
      </c>
      <c r="X213" s="61">
        <v>0</v>
      </c>
      <c r="Y213" s="61">
        <v>-4.4880000000000004</v>
      </c>
      <c r="AA213" s="61">
        <v>0</v>
      </c>
      <c r="AB213" s="60">
        <v>-4.49</v>
      </c>
      <c r="AD213" s="61">
        <v>-4.4880000000000004</v>
      </c>
      <c r="AE213" s="60">
        <v>0</v>
      </c>
    </row>
    <row r="214" spans="1:31" ht="18" customHeight="1" x14ac:dyDescent="0.2">
      <c r="A214" s="35"/>
      <c r="B214" s="35"/>
      <c r="C214" s="4">
        <v>0.23155299238342772</v>
      </c>
      <c r="D214" s="4">
        <v>-2.3700866622188042E-2</v>
      </c>
      <c r="F214" s="95" t="s">
        <v>275</v>
      </c>
      <c r="H214" s="198">
        <v>-580.91700000000003</v>
      </c>
      <c r="I214" s="198">
        <v>-594.55500000000006</v>
      </c>
      <c r="J214" s="198">
        <v>-594.55500000000006</v>
      </c>
      <c r="K214" s="89">
        <v>-562.07435999999996</v>
      </c>
      <c r="L214" s="89">
        <v>-421.92549999999994</v>
      </c>
      <c r="M214" s="64">
        <v>-49.07800000000001</v>
      </c>
      <c r="N214" s="64">
        <v>-42.318999999999996</v>
      </c>
      <c r="O214" s="64">
        <v>-38.488999999999997</v>
      </c>
      <c r="P214" s="64">
        <v>-35.681000000000012</v>
      </c>
      <c r="Q214" s="64">
        <v>-33.646999999999977</v>
      </c>
      <c r="R214" s="64">
        <v>-42.117000000000019</v>
      </c>
      <c r="S214" s="64">
        <v>-29.298999999999975</v>
      </c>
      <c r="T214" s="64">
        <v>-24.977000000000004</v>
      </c>
      <c r="U214" s="64">
        <v>-34.311000000000028</v>
      </c>
      <c r="V214" s="64">
        <v>-27.97000000000001</v>
      </c>
      <c r="W214" s="64">
        <v>-37.512999999999963</v>
      </c>
      <c r="X214" s="64">
        <v>-36.524999999999991</v>
      </c>
      <c r="Y214" s="64">
        <v>-431.92599999999993</v>
      </c>
      <c r="AA214" s="64">
        <v>-562.07435999999996</v>
      </c>
      <c r="AB214" s="60">
        <v>130.15</v>
      </c>
      <c r="AD214" s="64">
        <v>-421.9255</v>
      </c>
      <c r="AE214" s="60">
        <v>-10</v>
      </c>
    </row>
    <row r="215" spans="1:31" ht="12.95" customHeight="1" x14ac:dyDescent="0.2">
      <c r="A215" s="35"/>
      <c r="B215" s="35"/>
      <c r="C215" s="4"/>
      <c r="D215" s="4"/>
      <c r="F215" s="39" t="s">
        <v>223</v>
      </c>
      <c r="H215" s="56">
        <v>8.5934543728884968E-2</v>
      </c>
      <c r="I215" s="56">
        <v>8.5996383134349805E-2</v>
      </c>
      <c r="J215" s="56">
        <v>8.5996383134349805E-2</v>
      </c>
      <c r="K215" s="109">
        <v>9.5197685206983532E-2</v>
      </c>
      <c r="L215" s="109">
        <v>6.8335685284194633E-2</v>
      </c>
      <c r="M215" s="56">
        <v>8.9498293117030905E-2</v>
      </c>
      <c r="N215" s="56">
        <v>8.8882868010442734E-2</v>
      </c>
      <c r="O215" s="56">
        <v>7.7579551845006173E-2</v>
      </c>
      <c r="P215" s="56">
        <v>6.9357701152106446E-2</v>
      </c>
      <c r="Q215" s="56">
        <v>6.0648282500193718E-2</v>
      </c>
      <c r="R215" s="56">
        <v>7.6557711393951358E-2</v>
      </c>
      <c r="S215" s="56">
        <v>6.0449819779113276E-2</v>
      </c>
      <c r="T215" s="56">
        <v>4.9136950782390457E-2</v>
      </c>
      <c r="U215" s="56">
        <v>6.7344078761423301E-2</v>
      </c>
      <c r="V215" s="56">
        <v>5.590377435421847E-2</v>
      </c>
      <c r="W215" s="56">
        <v>7.0236305390219328E-2</v>
      </c>
      <c r="X215" s="56">
        <v>6.6430831908624602E-2</v>
      </c>
      <c r="Y215" s="56">
        <v>6.9366647876647522E-2</v>
      </c>
      <c r="AA215" s="56">
        <v>9.5197685206983532E-2</v>
      </c>
      <c r="AB215" s="57"/>
      <c r="AD215" s="56">
        <v>6.8335685284194633E-2</v>
      </c>
      <c r="AE215" s="57"/>
    </row>
    <row r="216" spans="1:31" ht="6.95" customHeight="1" x14ac:dyDescent="0.2">
      <c r="C216" s="4"/>
      <c r="D216" s="4"/>
      <c r="F216" s="96"/>
      <c r="H216" s="16"/>
      <c r="I216" s="16"/>
      <c r="J216" s="16"/>
      <c r="K216" s="85"/>
      <c r="L216" s="85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AA216" s="16"/>
      <c r="AB216" s="20"/>
      <c r="AD216" s="16"/>
      <c r="AE216" s="20"/>
    </row>
    <row r="217" spans="1:31" ht="18" customHeight="1" x14ac:dyDescent="0.2">
      <c r="A217" s="30" t="s">
        <v>70</v>
      </c>
      <c r="B217" s="30" t="s">
        <v>22</v>
      </c>
      <c r="C217" s="4"/>
      <c r="D217" s="4"/>
      <c r="F217" s="97" t="s">
        <v>226</v>
      </c>
      <c r="H217" s="74">
        <v>2.7749999999999999</v>
      </c>
      <c r="I217" s="74">
        <v>2.5830000000000002</v>
      </c>
      <c r="J217" s="74">
        <v>2.5830000000000002</v>
      </c>
      <c r="K217" s="112">
        <v>3</v>
      </c>
      <c r="L217" s="112">
        <v>1.7</v>
      </c>
      <c r="M217" s="74">
        <v>1.6800000000000002</v>
      </c>
      <c r="N217" s="74">
        <v>1.9919999999999995</v>
      </c>
      <c r="O217" s="74">
        <v>2.0040000000000004</v>
      </c>
      <c r="P217" s="74">
        <v>2.0039999999999996</v>
      </c>
      <c r="Q217" s="74">
        <v>1.9920000000000009</v>
      </c>
      <c r="R217" s="74">
        <v>2.0039999999999996</v>
      </c>
      <c r="S217" s="74">
        <v>0.99600000000000044</v>
      </c>
      <c r="T217" s="74">
        <v>1.0079999999999991</v>
      </c>
      <c r="U217" s="74">
        <v>0.99600000000000222</v>
      </c>
      <c r="V217" s="74">
        <v>0.99599999999999866</v>
      </c>
      <c r="W217" s="74">
        <v>1.0079999999999991</v>
      </c>
      <c r="X217" s="74">
        <v>0</v>
      </c>
      <c r="Y217" s="74">
        <v>1.39</v>
      </c>
      <c r="AA217" s="74">
        <v>3</v>
      </c>
      <c r="AB217" s="73">
        <v>-1.61</v>
      </c>
      <c r="AD217" s="74">
        <v>1.7</v>
      </c>
      <c r="AE217" s="73">
        <v>-0.31</v>
      </c>
    </row>
    <row r="218" spans="1:31" ht="12.95" customHeight="1" x14ac:dyDescent="0.2">
      <c r="A218" s="35"/>
      <c r="B218" s="35"/>
      <c r="C218" s="4"/>
      <c r="D218" s="4"/>
      <c r="F218" s="39" t="s">
        <v>71</v>
      </c>
      <c r="H218" s="132">
        <v>-6476.0360360360364</v>
      </c>
      <c r="I218" s="132">
        <v>-7013.162988772744</v>
      </c>
      <c r="J218" s="132">
        <v>-7013.162988772744</v>
      </c>
      <c r="K218" s="133">
        <v>-6787.3333333333348</v>
      </c>
      <c r="L218" s="133">
        <v>-5883.5294117647063</v>
      </c>
      <c r="M218" s="132">
        <v>-663.09523809523785</v>
      </c>
      <c r="N218" s="132">
        <v>-504.51807228915669</v>
      </c>
      <c r="O218" s="132">
        <v>-483.03393213572849</v>
      </c>
      <c r="P218" s="132">
        <v>-478.04391217564887</v>
      </c>
      <c r="Q218" s="132">
        <v>-550.70281124497944</v>
      </c>
      <c r="R218" s="132">
        <v>-472.05588822355304</v>
      </c>
      <c r="S218" s="132">
        <v>-901.60642570281084</v>
      </c>
      <c r="T218" s="132">
        <v>-429.56349206349239</v>
      </c>
      <c r="U218" s="132">
        <v>-202.81124497991928</v>
      </c>
      <c r="V218" s="132">
        <v>-331.32530120481977</v>
      </c>
      <c r="W218" s="132">
        <v>-2432.5396825396847</v>
      </c>
      <c r="X218" s="132" t="e">
        <v>#DIV/0!</v>
      </c>
      <c r="Y218" s="132">
        <v>-7605.7553956834536</v>
      </c>
      <c r="AA218" s="132">
        <v>-6787.3333333333348</v>
      </c>
      <c r="AB218" s="134">
        <v>-818.42</v>
      </c>
      <c r="AD218" s="132">
        <v>-5883.5294117647063</v>
      </c>
      <c r="AE218" s="134">
        <v>-1722.23</v>
      </c>
    </row>
    <row r="219" spans="1:31" ht="18" customHeight="1" x14ac:dyDescent="0.2">
      <c r="A219" s="30" t="s">
        <v>63</v>
      </c>
      <c r="B219" s="30" t="s">
        <v>22</v>
      </c>
      <c r="C219" s="4">
        <v>0.42922497308934338</v>
      </c>
      <c r="D219" s="4">
        <v>4.2870036101083031E-2</v>
      </c>
      <c r="F219" s="106" t="s">
        <v>201</v>
      </c>
      <c r="H219" s="61">
        <v>-8.2569999999999997</v>
      </c>
      <c r="I219" s="61">
        <v>-4.41</v>
      </c>
      <c r="J219" s="61">
        <v>-4.41</v>
      </c>
      <c r="K219" s="86">
        <v>-7.4320000000000004</v>
      </c>
      <c r="L219" s="86">
        <v>-4.4320000000000004</v>
      </c>
      <c r="M219" s="61">
        <v>-0.39400000000000002</v>
      </c>
      <c r="N219" s="61">
        <v>-0.49099999999999999</v>
      </c>
      <c r="O219" s="61">
        <v>-0.49199999999999999</v>
      </c>
      <c r="P219" s="61">
        <v>-0.4910000000000001</v>
      </c>
      <c r="Q219" s="61">
        <v>-0.49099999999999988</v>
      </c>
      <c r="R219" s="61">
        <v>-0.49199999999999999</v>
      </c>
      <c r="S219" s="61">
        <v>-0.4910000000000001</v>
      </c>
      <c r="T219" s="61">
        <v>-0.17999999999999972</v>
      </c>
      <c r="U219" s="61">
        <v>-0.18000000000000016</v>
      </c>
      <c r="V219" s="61">
        <v>-0.18000000000000016</v>
      </c>
      <c r="W219" s="61">
        <v>-0.17899999999999983</v>
      </c>
      <c r="X219" s="61">
        <v>-0.17999999999999972</v>
      </c>
      <c r="Y219" s="61">
        <v>-4.2409999999999997</v>
      </c>
      <c r="AA219" s="61">
        <v>-7.4319999999999995</v>
      </c>
      <c r="AB219" s="60">
        <v>3.19</v>
      </c>
      <c r="AD219" s="61">
        <v>-4.4320000000000004</v>
      </c>
      <c r="AE219" s="60">
        <v>0.19</v>
      </c>
    </row>
    <row r="220" spans="1:31" ht="18" customHeight="1" x14ac:dyDescent="0.2">
      <c r="A220" s="30" t="s">
        <v>64</v>
      </c>
      <c r="B220" s="30" t="s">
        <v>22</v>
      </c>
      <c r="C220" s="4">
        <v>0.49656915854098949</v>
      </c>
      <c r="D220" s="4">
        <v>-0.34167468719923005</v>
      </c>
      <c r="F220" s="106" t="s">
        <v>202</v>
      </c>
      <c r="H220" s="61">
        <v>-4.9809999999999999</v>
      </c>
      <c r="I220" s="61">
        <v>-8.0229999999999997</v>
      </c>
      <c r="J220" s="61">
        <v>-8.0229999999999997</v>
      </c>
      <c r="K220" s="86">
        <v>-5.5380000000000003</v>
      </c>
      <c r="L220" s="86">
        <v>-2.0779999999999998</v>
      </c>
      <c r="M220" s="61">
        <v>-0.61899999999999999</v>
      </c>
      <c r="N220" s="61">
        <v>-0.373</v>
      </c>
      <c r="O220" s="61">
        <v>-0.3680000000000001</v>
      </c>
      <c r="P220" s="61">
        <v>-0.35899999999999999</v>
      </c>
      <c r="Q220" s="61">
        <v>-0.42399999999999971</v>
      </c>
      <c r="R220" s="61">
        <v>-0.34600000000000009</v>
      </c>
      <c r="S220" s="61">
        <v>-0.29899999999999993</v>
      </c>
      <c r="T220" s="61">
        <v>-1.0000000000000231E-2</v>
      </c>
      <c r="U220" s="61">
        <v>4.7000000000000153E-2</v>
      </c>
      <c r="V220" s="61">
        <v>0</v>
      </c>
      <c r="W220" s="61">
        <v>-3.5000000000000142E-2</v>
      </c>
      <c r="X220" s="61">
        <v>0</v>
      </c>
      <c r="Y220" s="61">
        <v>-2.786</v>
      </c>
      <c r="AA220" s="61">
        <v>-5.5380000000000003</v>
      </c>
      <c r="AB220" s="60">
        <v>2.75</v>
      </c>
      <c r="AD220" s="61">
        <v>-2.0779999999999998</v>
      </c>
      <c r="AE220" s="60">
        <v>-0.71</v>
      </c>
    </row>
    <row r="221" spans="1:31" ht="18" hidden="1" customHeight="1" outlineLevel="1" x14ac:dyDescent="0.2">
      <c r="A221" s="30" t="s">
        <v>150</v>
      </c>
      <c r="B221" s="30" t="s">
        <v>22</v>
      </c>
      <c r="C221" s="4">
        <v>-6.3782051282051277</v>
      </c>
      <c r="D221" s="4">
        <v>-2.3637440758293842</v>
      </c>
      <c r="F221" s="38" t="s">
        <v>151</v>
      </c>
      <c r="G221" s="34"/>
      <c r="H221" s="66">
        <v>-0.53800000000000003</v>
      </c>
      <c r="I221" s="66">
        <v>-0.38600000000000001</v>
      </c>
      <c r="J221" s="66">
        <v>-0.38600000000000001</v>
      </c>
      <c r="K221" s="86">
        <v>-0.312</v>
      </c>
      <c r="L221" s="86">
        <v>1.6879999999999999</v>
      </c>
      <c r="M221" s="66">
        <v>0</v>
      </c>
      <c r="N221" s="66">
        <v>0</v>
      </c>
      <c r="O221" s="66">
        <v>0</v>
      </c>
      <c r="P221" s="66">
        <v>0</v>
      </c>
      <c r="Q221" s="66">
        <v>-0.04</v>
      </c>
      <c r="R221" s="66">
        <v>0</v>
      </c>
      <c r="S221" s="66">
        <v>0</v>
      </c>
      <c r="T221" s="66">
        <v>-0.14499999999999999</v>
      </c>
      <c r="U221" s="66">
        <v>0</v>
      </c>
      <c r="V221" s="66">
        <v>0</v>
      </c>
      <c r="W221" s="66">
        <v>-2.117</v>
      </c>
      <c r="X221" s="66">
        <v>0</v>
      </c>
      <c r="Y221" s="66">
        <v>-2.302</v>
      </c>
      <c r="Z221" s="34"/>
      <c r="AA221" s="66">
        <v>-0.312</v>
      </c>
      <c r="AB221" s="60">
        <v>-1.99</v>
      </c>
      <c r="AC221" s="34"/>
      <c r="AD221" s="66">
        <v>1.6879999999999999</v>
      </c>
      <c r="AE221" s="60">
        <v>-3.99</v>
      </c>
    </row>
    <row r="222" spans="1:31" ht="18" hidden="1" customHeight="1" outlineLevel="1" x14ac:dyDescent="0.2">
      <c r="A222" s="30" t="s">
        <v>168</v>
      </c>
      <c r="B222" s="30" t="s">
        <v>22</v>
      </c>
      <c r="C222" s="4">
        <v>0.59694989106753815</v>
      </c>
      <c r="D222" s="4">
        <v>0.59694989106753815</v>
      </c>
      <c r="F222" s="38" t="s">
        <v>169</v>
      </c>
      <c r="G222" s="34"/>
      <c r="H222" s="66">
        <v>-1.9910000000000001</v>
      </c>
      <c r="I222" s="66">
        <v>-1.498</v>
      </c>
      <c r="J222" s="66">
        <v>-1.498</v>
      </c>
      <c r="K222" s="86">
        <v>-2.2949999999999999</v>
      </c>
      <c r="L222" s="86">
        <v>-2.2949999999999999</v>
      </c>
      <c r="M222" s="66">
        <v>-8.7999999999999995E-2</v>
      </c>
      <c r="N222" s="66">
        <v>-9.4E-2</v>
      </c>
      <c r="O222" s="66">
        <v>-9.5000000000000029E-2</v>
      </c>
      <c r="P222" s="66">
        <v>-9.3999999999999972E-2</v>
      </c>
      <c r="Q222" s="66">
        <v>-9.5000000000000029E-2</v>
      </c>
      <c r="R222" s="66">
        <v>-9.5000000000000029E-2</v>
      </c>
      <c r="S222" s="66">
        <v>-9.3999999999999972E-2</v>
      </c>
      <c r="T222" s="66">
        <v>-5.4999999999999938E-2</v>
      </c>
      <c r="U222" s="66">
        <v>-5.5000000000000049E-2</v>
      </c>
      <c r="V222" s="66">
        <v>-5.4999999999999938E-2</v>
      </c>
      <c r="W222" s="66">
        <v>-5.5000000000000049E-2</v>
      </c>
      <c r="X222" s="66">
        <v>-5.5000000000000049E-2</v>
      </c>
      <c r="Y222" s="66">
        <v>-0.93</v>
      </c>
      <c r="Z222" s="34"/>
      <c r="AA222" s="66">
        <v>-2.2949999999999999</v>
      </c>
      <c r="AB222" s="60">
        <v>1.37</v>
      </c>
      <c r="AC222" s="34"/>
      <c r="AD222" s="66">
        <v>-2.2949999999999999</v>
      </c>
      <c r="AE222" s="60">
        <v>1.37</v>
      </c>
    </row>
    <row r="223" spans="1:31" ht="18" hidden="1" customHeight="1" outlineLevel="1" x14ac:dyDescent="0.2">
      <c r="A223" s="30" t="s">
        <v>170</v>
      </c>
      <c r="B223" s="30" t="s">
        <v>22</v>
      </c>
      <c r="C223" s="4">
        <v>0.99811676082862522</v>
      </c>
      <c r="D223" s="4">
        <v>0.96774193548387089</v>
      </c>
      <c r="F223" s="38" t="s">
        <v>171</v>
      </c>
      <c r="G223" s="34"/>
      <c r="H223" s="66">
        <v>0</v>
      </c>
      <c r="I223" s="66">
        <v>-1.5760000000000001</v>
      </c>
      <c r="J223" s="66">
        <v>-1.5760000000000001</v>
      </c>
      <c r="K223" s="86">
        <v>-0.53100000000000003</v>
      </c>
      <c r="L223" s="86">
        <v>-3.1E-2</v>
      </c>
      <c r="M223" s="66">
        <v>0</v>
      </c>
      <c r="N223" s="66">
        <v>0</v>
      </c>
      <c r="O223" s="66">
        <v>0</v>
      </c>
      <c r="P223" s="66">
        <v>0</v>
      </c>
      <c r="Q223" s="66">
        <v>0</v>
      </c>
      <c r="R223" s="66">
        <v>0</v>
      </c>
      <c r="S223" s="66">
        <v>0</v>
      </c>
      <c r="T223" s="66">
        <v>0</v>
      </c>
      <c r="U223" s="66">
        <v>0</v>
      </c>
      <c r="V223" s="66">
        <v>0</v>
      </c>
      <c r="W223" s="66">
        <v>0</v>
      </c>
      <c r="X223" s="66">
        <v>0</v>
      </c>
      <c r="Y223" s="66">
        <v>0</v>
      </c>
      <c r="Z223" s="34"/>
      <c r="AA223" s="66">
        <v>-0.53100000000000003</v>
      </c>
      <c r="AB223" s="60">
        <v>0.53</v>
      </c>
      <c r="AC223" s="34"/>
      <c r="AD223" s="66">
        <v>-3.1E-2</v>
      </c>
      <c r="AE223" s="60">
        <v>0.03</v>
      </c>
    </row>
    <row r="224" spans="1:31" ht="18" customHeight="1" collapsed="1" x14ac:dyDescent="0.2">
      <c r="A224" s="35"/>
      <c r="B224" s="35"/>
      <c r="C224" s="4">
        <v>-2.8680688336520075E-2</v>
      </c>
      <c r="D224" s="4">
        <v>-4.0595611285266457</v>
      </c>
      <c r="F224" s="106" t="s">
        <v>151</v>
      </c>
      <c r="H224" s="61">
        <v>-2.5289999999999999</v>
      </c>
      <c r="I224" s="61">
        <v>-3.46</v>
      </c>
      <c r="J224" s="61">
        <v>-3.46</v>
      </c>
      <c r="K224" s="86">
        <v>-3.1379999999999999</v>
      </c>
      <c r="L224" s="86">
        <v>-0.63800000000000001</v>
      </c>
      <c r="M224" s="61">
        <v>-8.7999999999999995E-2</v>
      </c>
      <c r="N224" s="61">
        <v>-9.4E-2</v>
      </c>
      <c r="O224" s="61">
        <v>-9.5000000000000029E-2</v>
      </c>
      <c r="P224" s="61">
        <v>-9.3999999999999972E-2</v>
      </c>
      <c r="Q224" s="61">
        <v>-0.13500000000000004</v>
      </c>
      <c r="R224" s="61">
        <v>-9.5000000000000029E-2</v>
      </c>
      <c r="S224" s="61">
        <v>-9.3999999999999972E-2</v>
      </c>
      <c r="T224" s="61">
        <v>-0.19999999999999993</v>
      </c>
      <c r="U224" s="61">
        <v>-5.5000000000000049E-2</v>
      </c>
      <c r="V224" s="61">
        <v>-5.4999999999999938E-2</v>
      </c>
      <c r="W224" s="61">
        <v>-2.1720000000000002</v>
      </c>
      <c r="X224" s="61">
        <v>-5.5000000000000049E-2</v>
      </c>
      <c r="Y224" s="61">
        <v>-3.2320000000000002</v>
      </c>
      <c r="AA224" s="61">
        <v>-3.1379999999999999</v>
      </c>
      <c r="AB224" s="60">
        <v>-0.09</v>
      </c>
      <c r="AD224" s="61">
        <v>-0.63800000000000001</v>
      </c>
      <c r="AE224" s="60">
        <v>-2.59</v>
      </c>
    </row>
    <row r="225" spans="1:39" ht="18" customHeight="1" collapsed="1" x14ac:dyDescent="0.2">
      <c r="A225" s="30" t="s">
        <v>146</v>
      </c>
      <c r="B225" s="30" t="s">
        <v>22</v>
      </c>
      <c r="C225" s="4">
        <v>0.7142857142857143</v>
      </c>
      <c r="D225" s="4">
        <v>0.7142857142857143</v>
      </c>
      <c r="F225" s="106" t="s">
        <v>147</v>
      </c>
      <c r="H225" s="61">
        <v>-0.39300000000000002</v>
      </c>
      <c r="I225" s="61">
        <v>-0.32200000000000001</v>
      </c>
      <c r="J225" s="61">
        <v>-0.32200000000000001</v>
      </c>
      <c r="K225" s="86">
        <v>-0.71399999999999997</v>
      </c>
      <c r="L225" s="86">
        <v>-0.71399999999999997</v>
      </c>
      <c r="M225" s="61">
        <v>-1.2999999999999999E-2</v>
      </c>
      <c r="N225" s="61">
        <v>-1.4E-2</v>
      </c>
      <c r="O225" s="61">
        <v>-1.3000000000000001E-2</v>
      </c>
      <c r="P225" s="61">
        <v>-1.3999999999999999E-2</v>
      </c>
      <c r="Q225" s="61">
        <v>-1.3000000000000005E-2</v>
      </c>
      <c r="R225" s="61">
        <v>-1.2999999999999998E-2</v>
      </c>
      <c r="S225" s="61">
        <v>-1.3999999999999999E-2</v>
      </c>
      <c r="T225" s="61">
        <v>-1.2999999999999998E-2</v>
      </c>
      <c r="U225" s="61">
        <v>-1.3999999999999999E-2</v>
      </c>
      <c r="V225" s="61">
        <v>-9.5000000000000001E-2</v>
      </c>
      <c r="W225" s="61">
        <v>-5.0000000000000017E-2</v>
      </c>
      <c r="X225" s="61">
        <v>6.6000000000000003E-2</v>
      </c>
      <c r="Y225" s="61">
        <v>-0.2</v>
      </c>
      <c r="AA225" s="61">
        <v>-0.71399999999999997</v>
      </c>
      <c r="AB225" s="60">
        <v>0.51</v>
      </c>
      <c r="AD225" s="61">
        <v>-0.71399999999999997</v>
      </c>
      <c r="AE225" s="60">
        <v>0.51</v>
      </c>
    </row>
    <row r="226" spans="1:39" ht="18" hidden="1" customHeight="1" outlineLevel="1" x14ac:dyDescent="0.2">
      <c r="A226" s="30" t="s">
        <v>154</v>
      </c>
      <c r="B226" s="30" t="s">
        <v>22</v>
      </c>
      <c r="C226" s="4">
        <v>0.99747474747474729</v>
      </c>
      <c r="D226" s="4">
        <v>-1.2499999999999984</v>
      </c>
      <c r="F226" s="38" t="s">
        <v>155</v>
      </c>
      <c r="G226" s="34"/>
      <c r="H226" s="66">
        <v>0</v>
      </c>
      <c r="I226" s="66">
        <v>-0.45200000000000001</v>
      </c>
      <c r="J226" s="66">
        <v>-0.45200000000000001</v>
      </c>
      <c r="K226" s="86">
        <v>-0.79200000000000004</v>
      </c>
      <c r="L226" s="86">
        <v>8.0000000000000106E-3</v>
      </c>
      <c r="M226" s="66">
        <v>0</v>
      </c>
      <c r="N226" s="66">
        <v>0</v>
      </c>
      <c r="O226" s="66">
        <v>0</v>
      </c>
      <c r="P226" s="66">
        <v>0</v>
      </c>
      <c r="Q226" s="66">
        <v>0</v>
      </c>
      <c r="R226" s="66">
        <v>0</v>
      </c>
      <c r="S226" s="66">
        <v>0</v>
      </c>
      <c r="T226" s="66">
        <v>0</v>
      </c>
      <c r="U226" s="66">
        <v>0</v>
      </c>
      <c r="V226" s="66">
        <v>0</v>
      </c>
      <c r="W226" s="66">
        <v>0</v>
      </c>
      <c r="X226" s="66">
        <v>0</v>
      </c>
      <c r="Y226" s="66">
        <v>0</v>
      </c>
      <c r="Z226" s="34"/>
      <c r="AA226" s="66">
        <v>-0.79200000000000015</v>
      </c>
      <c r="AB226" s="60">
        <v>0.79</v>
      </c>
      <c r="AC226" s="34"/>
      <c r="AD226" s="66">
        <v>8.0000000000000106E-3</v>
      </c>
      <c r="AE226" s="60">
        <v>-0.01</v>
      </c>
    </row>
    <row r="227" spans="1:39" ht="18" hidden="1" customHeight="1" outlineLevel="1" x14ac:dyDescent="0.2">
      <c r="A227" s="30" t="s">
        <v>156</v>
      </c>
      <c r="B227" s="30" t="s">
        <v>22</v>
      </c>
      <c r="C227" s="4">
        <v>1.0035842293906809</v>
      </c>
      <c r="D227" s="4">
        <v>-0.95238095238095466</v>
      </c>
      <c r="F227" s="38" t="s">
        <v>157</v>
      </c>
      <c r="G227" s="34"/>
      <c r="H227" s="66">
        <v>-1.1000000000000001</v>
      </c>
      <c r="I227" s="66">
        <v>-1.038</v>
      </c>
      <c r="J227" s="66">
        <v>-1.038</v>
      </c>
      <c r="K227" s="86">
        <v>-0.55800000000000005</v>
      </c>
      <c r="L227" s="86">
        <v>4.1999999999999899E-2</v>
      </c>
      <c r="M227" s="66">
        <v>0</v>
      </c>
      <c r="N227" s="66">
        <v>0</v>
      </c>
      <c r="O227" s="66">
        <v>0</v>
      </c>
      <c r="P227" s="66">
        <v>0</v>
      </c>
      <c r="Q227" s="66">
        <v>0</v>
      </c>
      <c r="R227" s="66">
        <v>0</v>
      </c>
      <c r="S227" s="66">
        <v>0</v>
      </c>
      <c r="T227" s="66">
        <v>0</v>
      </c>
      <c r="U227" s="66">
        <v>0</v>
      </c>
      <c r="V227" s="66">
        <v>0</v>
      </c>
      <c r="W227" s="66">
        <v>0</v>
      </c>
      <c r="X227" s="66">
        <v>0</v>
      </c>
      <c r="Y227" s="66">
        <v>0</v>
      </c>
      <c r="Z227" s="34"/>
      <c r="AA227" s="66">
        <v>-0.55800000000000005</v>
      </c>
      <c r="AB227" s="60">
        <v>0.56000000000000005</v>
      </c>
      <c r="AC227" s="34"/>
      <c r="AD227" s="66">
        <v>4.1999999999999899E-2</v>
      </c>
      <c r="AE227" s="60">
        <v>-0.04</v>
      </c>
    </row>
    <row r="228" spans="1:39" ht="18" hidden="1" customHeight="1" outlineLevel="1" x14ac:dyDescent="0.2">
      <c r="A228" s="30" t="s">
        <v>160</v>
      </c>
      <c r="B228" s="30" t="s">
        <v>22</v>
      </c>
      <c r="C228" s="4">
        <v>0</v>
      </c>
      <c r="D228" s="4">
        <v>0</v>
      </c>
      <c r="F228" s="38" t="s">
        <v>161</v>
      </c>
      <c r="G228" s="34"/>
      <c r="H228" s="66">
        <v>0</v>
      </c>
      <c r="I228" s="66">
        <v>0</v>
      </c>
      <c r="J228" s="66">
        <v>0</v>
      </c>
      <c r="K228" s="86">
        <v>0</v>
      </c>
      <c r="L228" s="86">
        <v>0</v>
      </c>
      <c r="M228" s="66">
        <v>0</v>
      </c>
      <c r="N228" s="66">
        <v>0</v>
      </c>
      <c r="O228" s="66">
        <v>0</v>
      </c>
      <c r="P228" s="66">
        <v>0</v>
      </c>
      <c r="Q228" s="66">
        <v>0</v>
      </c>
      <c r="R228" s="66">
        <v>0</v>
      </c>
      <c r="S228" s="66">
        <v>0</v>
      </c>
      <c r="T228" s="66">
        <v>0</v>
      </c>
      <c r="U228" s="66">
        <v>0</v>
      </c>
      <c r="V228" s="66">
        <v>0</v>
      </c>
      <c r="W228" s="66">
        <v>0</v>
      </c>
      <c r="X228" s="66">
        <v>0</v>
      </c>
      <c r="Y228" s="66">
        <v>0</v>
      </c>
      <c r="Z228" s="34"/>
      <c r="AA228" s="66">
        <v>0</v>
      </c>
      <c r="AB228" s="60">
        <v>0</v>
      </c>
      <c r="AC228" s="34"/>
      <c r="AD228" s="66">
        <v>0</v>
      </c>
      <c r="AE228" s="60">
        <v>0</v>
      </c>
    </row>
    <row r="229" spans="1:39" ht="18" customHeight="1" collapsed="1" x14ac:dyDescent="0.2">
      <c r="A229" s="35"/>
      <c r="B229" s="35"/>
      <c r="C229" s="4">
        <v>0.99999999999999989</v>
      </c>
      <c r="D229" s="4">
        <v>-1.000000000000002</v>
      </c>
      <c r="F229" s="106" t="s">
        <v>378</v>
      </c>
      <c r="H229" s="61">
        <v>-1.1000000000000001</v>
      </c>
      <c r="I229" s="61">
        <v>-1.49</v>
      </c>
      <c r="J229" s="61">
        <v>-1.49</v>
      </c>
      <c r="K229" s="86">
        <v>-1.35</v>
      </c>
      <c r="L229" s="86">
        <v>4.9999999999999906E-2</v>
      </c>
      <c r="M229" s="61">
        <v>0</v>
      </c>
      <c r="N229" s="61">
        <v>0</v>
      </c>
      <c r="O229" s="61">
        <v>0</v>
      </c>
      <c r="P229" s="61">
        <v>0</v>
      </c>
      <c r="Q229" s="61">
        <v>0</v>
      </c>
      <c r="R229" s="61">
        <v>0</v>
      </c>
      <c r="S229" s="61">
        <v>0</v>
      </c>
      <c r="T229" s="61">
        <v>0</v>
      </c>
      <c r="U229" s="61">
        <v>0</v>
      </c>
      <c r="V229" s="61">
        <v>0</v>
      </c>
      <c r="W229" s="61">
        <v>0</v>
      </c>
      <c r="X229" s="61">
        <v>0</v>
      </c>
      <c r="Y229" s="61">
        <v>0</v>
      </c>
      <c r="AA229" s="61">
        <v>-1.3500000000000003</v>
      </c>
      <c r="AB229" s="60">
        <v>1.35</v>
      </c>
      <c r="AD229" s="61">
        <v>4.9999999999999906E-2</v>
      </c>
      <c r="AE229" s="60">
        <v>-0.05</v>
      </c>
    </row>
    <row r="230" spans="1:39" ht="18" customHeight="1" x14ac:dyDescent="0.2">
      <c r="A230" s="30" t="s">
        <v>408</v>
      </c>
      <c r="B230" s="30" t="s">
        <v>22</v>
      </c>
      <c r="C230" s="4"/>
      <c r="D230" s="4"/>
      <c r="F230" s="106" t="s">
        <v>409</v>
      </c>
      <c r="H230" s="61">
        <v>-0.16800000000000001</v>
      </c>
      <c r="I230" s="61">
        <v>-0.17</v>
      </c>
      <c r="J230" s="61">
        <v>-0.17</v>
      </c>
      <c r="K230" s="86">
        <v>0</v>
      </c>
      <c r="L230" s="86">
        <v>0</v>
      </c>
      <c r="M230" s="61">
        <v>0</v>
      </c>
      <c r="N230" s="61">
        <v>-3.3000000000000002E-2</v>
      </c>
      <c r="O230" s="61">
        <v>0</v>
      </c>
      <c r="P230" s="61">
        <v>0</v>
      </c>
      <c r="Q230" s="61">
        <v>-3.4000000000000002E-2</v>
      </c>
      <c r="R230" s="61">
        <v>0</v>
      </c>
      <c r="S230" s="61">
        <v>0</v>
      </c>
      <c r="T230" s="61">
        <v>-0.03</v>
      </c>
      <c r="U230" s="61">
        <v>0</v>
      </c>
      <c r="V230" s="61">
        <v>0</v>
      </c>
      <c r="W230" s="61">
        <v>-1.6E-2</v>
      </c>
      <c r="X230" s="61">
        <v>0</v>
      </c>
      <c r="Y230" s="61">
        <v>-0.113</v>
      </c>
      <c r="AA230" s="61">
        <v>0</v>
      </c>
      <c r="AB230" s="60">
        <v>-0.11</v>
      </c>
      <c r="AD230" s="61">
        <v>0</v>
      </c>
      <c r="AE230" s="60">
        <v>-0.11</v>
      </c>
      <c r="AM230"/>
    </row>
    <row r="231" spans="1:39" ht="18" hidden="1" customHeight="1" outlineLevel="1" x14ac:dyDescent="0.2">
      <c r="A231" s="30" t="s">
        <v>148</v>
      </c>
      <c r="B231" s="30" t="s">
        <v>22</v>
      </c>
      <c r="C231" s="4">
        <v>0</v>
      </c>
      <c r="D231" s="4">
        <v>0</v>
      </c>
      <c r="F231" s="38" t="s">
        <v>149</v>
      </c>
      <c r="G231" s="34"/>
      <c r="H231" s="66">
        <v>0</v>
      </c>
      <c r="I231" s="66">
        <v>0</v>
      </c>
      <c r="J231" s="66">
        <v>0</v>
      </c>
      <c r="K231" s="86">
        <v>0</v>
      </c>
      <c r="L231" s="86">
        <v>0</v>
      </c>
      <c r="M231" s="66">
        <v>0</v>
      </c>
      <c r="N231" s="66">
        <v>0</v>
      </c>
      <c r="O231" s="66">
        <v>0</v>
      </c>
      <c r="P231" s="66">
        <v>0</v>
      </c>
      <c r="Q231" s="66">
        <v>0</v>
      </c>
      <c r="R231" s="66">
        <v>0</v>
      </c>
      <c r="S231" s="66">
        <v>0</v>
      </c>
      <c r="T231" s="66">
        <v>0</v>
      </c>
      <c r="U231" s="66">
        <v>0</v>
      </c>
      <c r="V231" s="66">
        <v>0</v>
      </c>
      <c r="W231" s="66">
        <v>0</v>
      </c>
      <c r="X231" s="66">
        <v>0</v>
      </c>
      <c r="Y231" s="66">
        <v>0</v>
      </c>
      <c r="Z231" s="34"/>
      <c r="AA231" s="66">
        <v>0</v>
      </c>
      <c r="AB231" s="60">
        <v>0</v>
      </c>
      <c r="AC231" s="34"/>
      <c r="AD231" s="66">
        <v>0</v>
      </c>
      <c r="AE231" s="60">
        <v>0</v>
      </c>
    </row>
    <row r="232" spans="1:39" ht="18" hidden="1" customHeight="1" outlineLevel="1" x14ac:dyDescent="0.2">
      <c r="A232" s="30" t="s">
        <v>158</v>
      </c>
      <c r="B232" s="30" t="s">
        <v>22</v>
      </c>
      <c r="C232" s="4">
        <v>1</v>
      </c>
      <c r="D232" s="4">
        <v>1</v>
      </c>
      <c r="F232" s="38" t="s">
        <v>159</v>
      </c>
      <c r="G232" s="34"/>
      <c r="H232" s="66">
        <v>-7.0000000000000001E-3</v>
      </c>
      <c r="I232" s="66">
        <v>0</v>
      </c>
      <c r="J232" s="66">
        <v>0</v>
      </c>
      <c r="K232" s="86">
        <v>-1.2</v>
      </c>
      <c r="L232" s="86">
        <v>-1.2</v>
      </c>
      <c r="M232" s="66">
        <v>0</v>
      </c>
      <c r="N232" s="66">
        <v>0</v>
      </c>
      <c r="O232" s="66">
        <v>0</v>
      </c>
      <c r="P232" s="66">
        <v>0</v>
      </c>
      <c r="Q232" s="66">
        <v>0</v>
      </c>
      <c r="R232" s="66">
        <v>0</v>
      </c>
      <c r="S232" s="66">
        <v>0</v>
      </c>
      <c r="T232" s="66">
        <v>0</v>
      </c>
      <c r="U232" s="66">
        <v>0</v>
      </c>
      <c r="V232" s="66">
        <v>0</v>
      </c>
      <c r="W232" s="66">
        <v>0</v>
      </c>
      <c r="X232" s="66">
        <v>0</v>
      </c>
      <c r="Y232" s="66">
        <v>0</v>
      </c>
      <c r="Z232" s="34"/>
      <c r="AA232" s="66">
        <v>-1.2</v>
      </c>
      <c r="AB232" s="60">
        <v>1.2</v>
      </c>
      <c r="AC232" s="34"/>
      <c r="AD232" s="66">
        <v>-1.2</v>
      </c>
      <c r="AE232" s="60">
        <v>1.2</v>
      </c>
    </row>
    <row r="233" spans="1:39" ht="18" hidden="1" customHeight="1" outlineLevel="1" x14ac:dyDescent="0.2">
      <c r="A233" s="30" t="s">
        <v>152</v>
      </c>
      <c r="B233" s="30" t="s">
        <v>22</v>
      </c>
      <c r="C233" s="4">
        <v>0</v>
      </c>
      <c r="D233" s="4">
        <v>0</v>
      </c>
      <c r="F233" s="38" t="s">
        <v>153</v>
      </c>
      <c r="G233" s="34"/>
      <c r="H233" s="66">
        <v>2.5999999999999999E-2</v>
      </c>
      <c r="I233" s="66">
        <v>0</v>
      </c>
      <c r="J233" s="66">
        <v>0</v>
      </c>
      <c r="K233" s="86">
        <v>0</v>
      </c>
      <c r="L233" s="86">
        <v>0</v>
      </c>
      <c r="M233" s="66">
        <v>0</v>
      </c>
      <c r="N233" s="66">
        <v>0</v>
      </c>
      <c r="O233" s="66">
        <v>0</v>
      </c>
      <c r="P233" s="66">
        <v>0</v>
      </c>
      <c r="Q233" s="66">
        <v>0</v>
      </c>
      <c r="R233" s="66">
        <v>0</v>
      </c>
      <c r="S233" s="66">
        <v>0</v>
      </c>
      <c r="T233" s="66">
        <v>0</v>
      </c>
      <c r="U233" s="66">
        <v>0</v>
      </c>
      <c r="V233" s="66">
        <v>0</v>
      </c>
      <c r="W233" s="66">
        <v>0</v>
      </c>
      <c r="X233" s="66">
        <v>0</v>
      </c>
      <c r="Y233" s="66">
        <v>0</v>
      </c>
      <c r="Z233" s="34"/>
      <c r="AA233" s="66">
        <v>0</v>
      </c>
      <c r="AB233" s="60">
        <v>0</v>
      </c>
      <c r="AC233" s="34"/>
      <c r="AD233" s="66">
        <v>0</v>
      </c>
      <c r="AE233" s="60">
        <v>0</v>
      </c>
    </row>
    <row r="234" spans="1:39" ht="18" hidden="1" customHeight="1" outlineLevel="1" x14ac:dyDescent="0.2">
      <c r="A234" s="30" t="s">
        <v>269</v>
      </c>
      <c r="B234" s="30" t="s">
        <v>22</v>
      </c>
      <c r="C234" s="4">
        <v>0</v>
      </c>
      <c r="D234" s="4">
        <v>0</v>
      </c>
      <c r="F234" s="38" t="s">
        <v>271</v>
      </c>
      <c r="G234" s="34"/>
      <c r="H234" s="66">
        <v>0</v>
      </c>
      <c r="I234" s="66">
        <v>0</v>
      </c>
      <c r="J234" s="66">
        <v>0</v>
      </c>
      <c r="K234" s="86">
        <v>0</v>
      </c>
      <c r="L234" s="86">
        <v>0</v>
      </c>
      <c r="M234" s="66">
        <v>0</v>
      </c>
      <c r="N234" s="66">
        <v>0</v>
      </c>
      <c r="O234" s="66">
        <v>0</v>
      </c>
      <c r="P234" s="66">
        <v>0</v>
      </c>
      <c r="Q234" s="66">
        <v>0</v>
      </c>
      <c r="R234" s="66">
        <v>0</v>
      </c>
      <c r="S234" s="66">
        <v>0</v>
      </c>
      <c r="T234" s="66">
        <v>0</v>
      </c>
      <c r="U234" s="66">
        <v>0</v>
      </c>
      <c r="V234" s="66">
        <v>0</v>
      </c>
      <c r="W234" s="66">
        <v>0</v>
      </c>
      <c r="X234" s="66">
        <v>0</v>
      </c>
      <c r="Y234" s="66">
        <v>0</v>
      </c>
      <c r="Z234" s="34"/>
      <c r="AA234" s="66">
        <v>0</v>
      </c>
      <c r="AB234" s="60">
        <v>0</v>
      </c>
      <c r="AC234" s="34"/>
      <c r="AD234" s="66">
        <v>0</v>
      </c>
      <c r="AE234" s="60">
        <v>0</v>
      </c>
    </row>
    <row r="235" spans="1:39" ht="18" hidden="1" customHeight="1" outlineLevel="1" x14ac:dyDescent="0.2">
      <c r="A235" s="30" t="s">
        <v>270</v>
      </c>
      <c r="B235" s="30" t="s">
        <v>22</v>
      </c>
      <c r="C235" s="4">
        <v>0</v>
      </c>
      <c r="D235" s="4">
        <v>0</v>
      </c>
      <c r="F235" s="38" t="s">
        <v>272</v>
      </c>
      <c r="G235" s="34"/>
      <c r="H235" s="66">
        <v>0</v>
      </c>
      <c r="I235" s="66">
        <v>0</v>
      </c>
      <c r="J235" s="66">
        <v>0</v>
      </c>
      <c r="K235" s="86">
        <v>0</v>
      </c>
      <c r="L235" s="86">
        <v>0</v>
      </c>
      <c r="M235" s="66">
        <v>0</v>
      </c>
      <c r="N235" s="66">
        <v>0</v>
      </c>
      <c r="O235" s="66">
        <v>0</v>
      </c>
      <c r="P235" s="66">
        <v>0</v>
      </c>
      <c r="Q235" s="66">
        <v>0</v>
      </c>
      <c r="R235" s="66">
        <v>0</v>
      </c>
      <c r="S235" s="66">
        <v>0</v>
      </c>
      <c r="T235" s="66">
        <v>0</v>
      </c>
      <c r="U235" s="66">
        <v>0</v>
      </c>
      <c r="V235" s="66">
        <v>0</v>
      </c>
      <c r="W235" s="66">
        <v>0</v>
      </c>
      <c r="X235" s="66">
        <v>0</v>
      </c>
      <c r="Y235" s="66">
        <v>0</v>
      </c>
      <c r="Z235" s="34"/>
      <c r="AA235" s="66">
        <v>0</v>
      </c>
      <c r="AB235" s="60">
        <v>0</v>
      </c>
      <c r="AC235" s="34"/>
      <c r="AD235" s="66">
        <v>0</v>
      </c>
      <c r="AE235" s="60">
        <v>0</v>
      </c>
    </row>
    <row r="236" spans="1:39" ht="18" hidden="1" customHeight="1" outlineLevel="1" x14ac:dyDescent="0.2">
      <c r="A236" s="30" t="s">
        <v>162</v>
      </c>
      <c r="B236" s="30" t="s">
        <v>22</v>
      </c>
      <c r="C236" s="4">
        <v>1.0000000000000002</v>
      </c>
      <c r="D236" s="4">
        <v>1.0000000000000002</v>
      </c>
      <c r="F236" s="38" t="s">
        <v>163</v>
      </c>
      <c r="G236" s="34"/>
      <c r="H236" s="66">
        <v>-0.56200000000000006</v>
      </c>
      <c r="I236" s="66">
        <v>-0.24</v>
      </c>
      <c r="J236" s="66">
        <v>-0.24</v>
      </c>
      <c r="K236" s="86">
        <v>-0.99</v>
      </c>
      <c r="L236" s="86">
        <v>-0.99</v>
      </c>
      <c r="M236" s="66">
        <v>0</v>
      </c>
      <c r="N236" s="66">
        <v>0</v>
      </c>
      <c r="O236" s="66">
        <v>0</v>
      </c>
      <c r="P236" s="66">
        <v>0</v>
      </c>
      <c r="Q236" s="66">
        <v>0</v>
      </c>
      <c r="R236" s="66">
        <v>0</v>
      </c>
      <c r="S236" s="66">
        <v>0</v>
      </c>
      <c r="T236" s="66">
        <v>0</v>
      </c>
      <c r="U236" s="66">
        <v>0</v>
      </c>
      <c r="V236" s="66">
        <v>0</v>
      </c>
      <c r="W236" s="66">
        <v>0</v>
      </c>
      <c r="X236" s="66">
        <v>0</v>
      </c>
      <c r="Y236" s="66">
        <v>0</v>
      </c>
      <c r="Z236" s="34"/>
      <c r="AA236" s="66">
        <v>-0.98999999999999988</v>
      </c>
      <c r="AB236" s="60">
        <v>0.99</v>
      </c>
      <c r="AC236" s="34"/>
      <c r="AD236" s="66">
        <v>-0.98999999999999988</v>
      </c>
      <c r="AE236" s="60">
        <v>0.99</v>
      </c>
    </row>
    <row r="237" spans="1:39" ht="18" hidden="1" customHeight="1" outlineLevel="1" x14ac:dyDescent="0.2">
      <c r="A237" s="30" t="s">
        <v>164</v>
      </c>
      <c r="B237" s="30" t="s">
        <v>22</v>
      </c>
      <c r="C237" s="4">
        <v>0</v>
      </c>
      <c r="D237" s="4">
        <v>0</v>
      </c>
      <c r="F237" s="38" t="s">
        <v>165</v>
      </c>
      <c r="G237" s="34"/>
      <c r="H237" s="66">
        <v>0</v>
      </c>
      <c r="I237" s="66">
        <v>0</v>
      </c>
      <c r="J237" s="66">
        <v>0</v>
      </c>
      <c r="K237" s="86">
        <v>0</v>
      </c>
      <c r="L237" s="8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0</v>
      </c>
      <c r="R237" s="66">
        <v>0</v>
      </c>
      <c r="S237" s="66">
        <v>0</v>
      </c>
      <c r="T237" s="66">
        <v>0</v>
      </c>
      <c r="U237" s="66">
        <v>0</v>
      </c>
      <c r="V237" s="66">
        <v>0</v>
      </c>
      <c r="W237" s="66">
        <v>0</v>
      </c>
      <c r="X237" s="66">
        <v>0</v>
      </c>
      <c r="Y237" s="66">
        <v>0</v>
      </c>
      <c r="Z237" s="34"/>
      <c r="AA237" s="66">
        <v>0</v>
      </c>
      <c r="AB237" s="60">
        <v>0</v>
      </c>
      <c r="AC237" s="34"/>
      <c r="AD237" s="66">
        <v>0</v>
      </c>
      <c r="AE237" s="60">
        <v>0</v>
      </c>
    </row>
    <row r="238" spans="1:39" ht="18" hidden="1" customHeight="1" outlineLevel="1" x14ac:dyDescent="0.2">
      <c r="A238" s="30" t="s">
        <v>166</v>
      </c>
      <c r="B238" s="30" t="s">
        <v>22</v>
      </c>
      <c r="C238" s="4">
        <v>0</v>
      </c>
      <c r="D238" s="4">
        <v>0</v>
      </c>
      <c r="F238" s="38" t="s">
        <v>167</v>
      </c>
      <c r="G238" s="34"/>
      <c r="H238" s="66">
        <v>0</v>
      </c>
      <c r="I238" s="66">
        <v>0</v>
      </c>
      <c r="J238" s="66">
        <v>0</v>
      </c>
      <c r="K238" s="86">
        <v>0</v>
      </c>
      <c r="L238" s="86">
        <v>0</v>
      </c>
      <c r="M238" s="66">
        <v>0</v>
      </c>
      <c r="N238" s="66">
        <v>0</v>
      </c>
      <c r="O238" s="66">
        <v>0</v>
      </c>
      <c r="P238" s="66">
        <v>0</v>
      </c>
      <c r="Q238" s="66">
        <v>0</v>
      </c>
      <c r="R238" s="66">
        <v>0</v>
      </c>
      <c r="S238" s="66">
        <v>0</v>
      </c>
      <c r="T238" s="66">
        <v>0</v>
      </c>
      <c r="U238" s="66">
        <v>0</v>
      </c>
      <c r="V238" s="66">
        <v>0</v>
      </c>
      <c r="W238" s="66">
        <v>0</v>
      </c>
      <c r="X238" s="66">
        <v>0</v>
      </c>
      <c r="Y238" s="66">
        <v>0</v>
      </c>
      <c r="Z238" s="34"/>
      <c r="AA238" s="66">
        <v>0</v>
      </c>
      <c r="AB238" s="60">
        <v>0</v>
      </c>
      <c r="AC238" s="34"/>
      <c r="AD238" s="66">
        <v>0</v>
      </c>
      <c r="AE238" s="60">
        <v>0</v>
      </c>
    </row>
    <row r="239" spans="1:39" ht="18" customHeight="1" collapsed="1" x14ac:dyDescent="0.2">
      <c r="A239" s="35"/>
      <c r="B239" s="35"/>
      <c r="C239" s="4">
        <v>1</v>
      </c>
      <c r="D239" s="4">
        <v>1</v>
      </c>
      <c r="F239" s="106" t="s">
        <v>189</v>
      </c>
      <c r="H239" s="61">
        <v>-0.54300000000000004</v>
      </c>
      <c r="I239" s="61">
        <v>-0.24</v>
      </c>
      <c r="J239" s="61">
        <v>-0.24</v>
      </c>
      <c r="K239" s="86">
        <v>-2.19</v>
      </c>
      <c r="L239" s="86">
        <v>-2.19</v>
      </c>
      <c r="M239" s="61">
        <v>0</v>
      </c>
      <c r="N239" s="61">
        <v>0</v>
      </c>
      <c r="O239" s="61">
        <v>0</v>
      </c>
      <c r="P239" s="61">
        <v>0</v>
      </c>
      <c r="Q239" s="61">
        <v>0</v>
      </c>
      <c r="R239" s="61">
        <v>0</v>
      </c>
      <c r="S239" s="61">
        <v>0</v>
      </c>
      <c r="T239" s="61">
        <v>0</v>
      </c>
      <c r="U239" s="61">
        <v>0</v>
      </c>
      <c r="V239" s="61">
        <v>0</v>
      </c>
      <c r="W239" s="61">
        <v>0</v>
      </c>
      <c r="X239" s="61">
        <v>0</v>
      </c>
      <c r="Y239" s="61">
        <v>0</v>
      </c>
      <c r="AA239" s="61">
        <v>-2.19</v>
      </c>
      <c r="AB239" s="60">
        <v>2.19</v>
      </c>
      <c r="AD239" s="61">
        <v>-2.19</v>
      </c>
      <c r="AE239" s="60">
        <v>2.19</v>
      </c>
    </row>
    <row r="240" spans="1:39" ht="18" customHeight="1" x14ac:dyDescent="0.2">
      <c r="A240" s="35"/>
      <c r="B240" s="35"/>
      <c r="C240" s="4">
        <v>0.48079756408997143</v>
      </c>
      <c r="D240" s="4">
        <v>-5.6988602279544082E-2</v>
      </c>
      <c r="F240" s="95" t="s">
        <v>65</v>
      </c>
      <c r="H240" s="195">
        <v>-17.971</v>
      </c>
      <c r="I240" s="195">
        <v>-18.114999999999998</v>
      </c>
      <c r="J240" s="64">
        <v>-18.114999999999998</v>
      </c>
      <c r="K240" s="89">
        <v>-20.362000000000002</v>
      </c>
      <c r="L240" s="89">
        <v>-10.002000000000001</v>
      </c>
      <c r="M240" s="64">
        <v>-1.1139999999999999</v>
      </c>
      <c r="N240" s="64">
        <v>-1.0049999999999999</v>
      </c>
      <c r="O240" s="64">
        <v>-0.96800000000000008</v>
      </c>
      <c r="P240" s="64">
        <v>-0.95800000000000007</v>
      </c>
      <c r="Q240" s="64">
        <v>-1.0969999999999995</v>
      </c>
      <c r="R240" s="64">
        <v>-0.94600000000000006</v>
      </c>
      <c r="S240" s="64">
        <v>-0.89800000000000002</v>
      </c>
      <c r="T240" s="64">
        <v>-0.43299999999999994</v>
      </c>
      <c r="U240" s="64">
        <v>-0.20200000000000007</v>
      </c>
      <c r="V240" s="64">
        <v>-0.33000000000000007</v>
      </c>
      <c r="W240" s="64">
        <v>-2.452</v>
      </c>
      <c r="X240" s="64">
        <v>-0.16899999999999976</v>
      </c>
      <c r="Y240" s="64">
        <v>-10.571999999999999</v>
      </c>
      <c r="AA240" s="64">
        <v>-20.362000000000002</v>
      </c>
      <c r="AB240" s="60">
        <v>9.7899999999999991</v>
      </c>
      <c r="AD240" s="64">
        <v>-10.002000000000001</v>
      </c>
      <c r="AE240" s="60">
        <v>-0.56999999999999995</v>
      </c>
    </row>
    <row r="241" spans="1:31" ht="12.95" customHeight="1" x14ac:dyDescent="0.2">
      <c r="A241" s="35"/>
      <c r="B241" s="35"/>
      <c r="C241" s="4"/>
      <c r="D241" s="4"/>
      <c r="F241" s="39" t="s">
        <v>223</v>
      </c>
      <c r="H241" s="56">
        <v>2.6584343122198037E-3</v>
      </c>
      <c r="I241" s="56">
        <v>2.6201520136551644E-3</v>
      </c>
      <c r="J241" s="56">
        <v>2.6201520136551644E-3</v>
      </c>
      <c r="K241" s="109">
        <v>3.4486811783846516E-3</v>
      </c>
      <c r="L241" s="109">
        <v>1.6199388854490067E-3</v>
      </c>
      <c r="M241" s="56">
        <v>2.031482508096752E-3</v>
      </c>
      <c r="N241" s="56">
        <v>2.1108079668823681E-3</v>
      </c>
      <c r="O241" s="56">
        <v>1.9511290546900669E-3</v>
      </c>
      <c r="P241" s="56">
        <v>1.8621865335533745E-3</v>
      </c>
      <c r="Q241" s="56">
        <v>1.9773283176126406E-3</v>
      </c>
      <c r="R241" s="56">
        <v>1.7195810475266033E-3</v>
      </c>
      <c r="S241" s="56">
        <v>1.8527573692495912E-3</v>
      </c>
      <c r="T241" s="56">
        <v>8.5183567637326589E-4</v>
      </c>
      <c r="U241" s="56">
        <v>3.9647646264485151E-4</v>
      </c>
      <c r="V241" s="56">
        <v>6.5957259695717172E-4</v>
      </c>
      <c r="W241" s="56">
        <v>4.5909263673078122E-3</v>
      </c>
      <c r="X241" s="56">
        <v>3.0737332217816685E-4</v>
      </c>
      <c r="Y241" s="56">
        <v>1.6978468565261588E-3</v>
      </c>
      <c r="AA241" s="56">
        <v>3.4486811783846516E-3</v>
      </c>
      <c r="AB241" s="57"/>
      <c r="AD241" s="56">
        <v>1.6199388854490067E-3</v>
      </c>
      <c r="AE241" s="57"/>
    </row>
    <row r="242" spans="1:31" ht="6.95" customHeight="1" x14ac:dyDescent="0.2">
      <c r="C242" s="4"/>
      <c r="D242" s="4"/>
      <c r="F242" s="96"/>
      <c r="H242" s="16"/>
      <c r="I242" s="16"/>
      <c r="J242" s="16"/>
      <c r="K242" s="85"/>
      <c r="L242" s="85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AA242" s="16"/>
      <c r="AB242" s="20"/>
      <c r="AD242" s="16"/>
      <c r="AE242" s="20"/>
    </row>
    <row r="243" spans="1:31" ht="18" hidden="1" customHeight="1" outlineLevel="1" collapsed="1" x14ac:dyDescent="0.2">
      <c r="A243" s="35"/>
      <c r="B243" s="35"/>
      <c r="C243" s="4"/>
      <c r="D243" s="4"/>
      <c r="F243" s="97" t="s">
        <v>249</v>
      </c>
      <c r="H243" s="74">
        <v>0.77579999999999993</v>
      </c>
      <c r="I243" s="74">
        <v>0.75582857142857141</v>
      </c>
      <c r="J243" s="74">
        <v>0.75582857142857141</v>
      </c>
      <c r="K243" s="112">
        <v>0.68571428571428572</v>
      </c>
      <c r="L243" s="112">
        <v>0.48571428571428571</v>
      </c>
      <c r="M243" s="74">
        <v>0.48274285714285714</v>
      </c>
      <c r="N243" s="74">
        <v>0.12239999999999998</v>
      </c>
      <c r="O243" s="74">
        <v>7.7828571428571455E-2</v>
      </c>
      <c r="P243" s="74">
        <v>0.11691428571428578</v>
      </c>
      <c r="Q243" s="74">
        <v>4.7999999999999276E-3</v>
      </c>
      <c r="R243" s="74">
        <v>-6.8571428571421013E-4</v>
      </c>
      <c r="S243" s="74">
        <v>-3.9085714285714397E-2</v>
      </c>
      <c r="T243" s="74">
        <v>5.2114285714285759E-2</v>
      </c>
      <c r="U243" s="74">
        <v>0.55200000000000005</v>
      </c>
      <c r="V243" s="74">
        <v>1.6700571428571429</v>
      </c>
      <c r="W243" s="74">
        <v>1.040571428571428</v>
      </c>
      <c r="X243" s="74">
        <v>1.4132571428571434</v>
      </c>
      <c r="Y243" s="74">
        <v>0.45774285714285717</v>
      </c>
      <c r="AA243" s="74">
        <v>0.68571428571428572</v>
      </c>
      <c r="AB243" s="73">
        <v>-0.23</v>
      </c>
      <c r="AD243" s="74">
        <v>0.48571428571428571</v>
      </c>
      <c r="AE243" s="73">
        <v>-0.03</v>
      </c>
    </row>
    <row r="244" spans="1:31" ht="18" hidden="1" customHeight="1" outlineLevel="1" x14ac:dyDescent="0.2">
      <c r="A244" s="30" t="s">
        <v>79</v>
      </c>
      <c r="B244" s="30" t="s">
        <v>22</v>
      </c>
      <c r="C244" s="4">
        <v>0.33250000000000002</v>
      </c>
      <c r="D244" s="4">
        <v>5.7647058823529412E-2</v>
      </c>
      <c r="F244" s="106" t="s">
        <v>83</v>
      </c>
      <c r="H244" s="61">
        <v>-27.152999999999999</v>
      </c>
      <c r="I244" s="61">
        <v>-26.454000000000001</v>
      </c>
      <c r="J244" s="61">
        <v>-26.454000000000001</v>
      </c>
      <c r="K244" s="86">
        <v>-24</v>
      </c>
      <c r="L244" s="86">
        <v>-17</v>
      </c>
      <c r="M244" s="61">
        <v>-1.4079999999999999</v>
      </c>
      <c r="N244" s="61">
        <v>-0.35699999999999998</v>
      </c>
      <c r="O244" s="61">
        <v>-0.22700000000000009</v>
      </c>
      <c r="P244" s="61">
        <v>-0.34100000000000019</v>
      </c>
      <c r="Q244" s="61">
        <v>-1.399999999999979E-2</v>
      </c>
      <c r="R244" s="61">
        <v>1.9999999999997797E-3</v>
      </c>
      <c r="S244" s="61">
        <v>0.11400000000000032</v>
      </c>
      <c r="T244" s="61">
        <v>-0.15200000000000014</v>
      </c>
      <c r="U244" s="61">
        <v>-1.6099999999999999</v>
      </c>
      <c r="V244" s="61">
        <v>-4.8710000000000004</v>
      </c>
      <c r="W244" s="61">
        <v>-3.0349999999999984</v>
      </c>
      <c r="X244" s="61">
        <v>-4.1220000000000017</v>
      </c>
      <c r="Y244" s="61">
        <v>-16.021000000000001</v>
      </c>
      <c r="AA244" s="61">
        <v>-24</v>
      </c>
      <c r="AB244" s="60">
        <v>7.98</v>
      </c>
      <c r="AD244" s="61">
        <v>-17</v>
      </c>
      <c r="AE244" s="60">
        <v>0.98</v>
      </c>
    </row>
    <row r="245" spans="1:31" ht="18" hidden="1" customHeight="1" outlineLevel="1" x14ac:dyDescent="0.2">
      <c r="A245" s="30" t="s">
        <v>80</v>
      </c>
      <c r="B245" s="30" t="s">
        <v>22</v>
      </c>
      <c r="C245" s="4">
        <v>0</v>
      </c>
      <c r="D245" s="4">
        <v>0</v>
      </c>
      <c r="F245" s="106" t="s">
        <v>84</v>
      </c>
      <c r="H245" s="61">
        <v>0</v>
      </c>
      <c r="I245" s="61">
        <v>0</v>
      </c>
      <c r="J245" s="61">
        <v>0</v>
      </c>
      <c r="K245" s="86">
        <v>0</v>
      </c>
      <c r="L245" s="86">
        <v>0</v>
      </c>
      <c r="M245" s="61">
        <v>0</v>
      </c>
      <c r="N245" s="61">
        <v>0</v>
      </c>
      <c r="O245" s="61">
        <v>0</v>
      </c>
      <c r="P245" s="61">
        <v>0</v>
      </c>
      <c r="Q245" s="61">
        <v>0</v>
      </c>
      <c r="R245" s="61">
        <v>0</v>
      </c>
      <c r="S245" s="61">
        <v>0</v>
      </c>
      <c r="T245" s="61">
        <v>0</v>
      </c>
      <c r="U245" s="61">
        <v>0</v>
      </c>
      <c r="V245" s="61">
        <v>0</v>
      </c>
      <c r="W245" s="61">
        <v>0</v>
      </c>
      <c r="X245" s="61">
        <v>0</v>
      </c>
      <c r="Y245" s="61">
        <v>0</v>
      </c>
      <c r="AA245" s="61">
        <v>0</v>
      </c>
      <c r="AB245" s="60">
        <v>0</v>
      </c>
      <c r="AD245" s="61">
        <v>0</v>
      </c>
      <c r="AE245" s="60">
        <v>0</v>
      </c>
    </row>
    <row r="246" spans="1:31" ht="18" hidden="1" customHeight="1" outlineLevel="1" x14ac:dyDescent="0.2">
      <c r="A246" s="30" t="s">
        <v>81</v>
      </c>
      <c r="B246" s="30" t="s">
        <v>22</v>
      </c>
      <c r="C246" s="4">
        <v>0</v>
      </c>
      <c r="D246" s="4">
        <v>0</v>
      </c>
      <c r="F246" s="106" t="s">
        <v>85</v>
      </c>
      <c r="H246" s="61">
        <v>0</v>
      </c>
      <c r="I246" s="61">
        <v>0</v>
      </c>
      <c r="J246" s="61">
        <v>0</v>
      </c>
      <c r="K246" s="86">
        <v>0</v>
      </c>
      <c r="L246" s="86">
        <v>0</v>
      </c>
      <c r="M246" s="61">
        <v>0</v>
      </c>
      <c r="N246" s="61">
        <v>0</v>
      </c>
      <c r="O246" s="61">
        <v>0</v>
      </c>
      <c r="P246" s="61">
        <v>0</v>
      </c>
      <c r="Q246" s="61">
        <v>0</v>
      </c>
      <c r="R246" s="61">
        <v>0</v>
      </c>
      <c r="S246" s="61">
        <v>0</v>
      </c>
      <c r="T246" s="61">
        <v>0</v>
      </c>
      <c r="U246" s="61">
        <v>0</v>
      </c>
      <c r="V246" s="61">
        <v>0</v>
      </c>
      <c r="W246" s="61">
        <v>0</v>
      </c>
      <c r="X246" s="61">
        <v>0</v>
      </c>
      <c r="Y246" s="61">
        <v>0</v>
      </c>
      <c r="AA246" s="61">
        <v>0</v>
      </c>
      <c r="AB246" s="60">
        <v>0</v>
      </c>
      <c r="AD246" s="61">
        <v>0</v>
      </c>
      <c r="AE246" s="60">
        <v>0</v>
      </c>
    </row>
    <row r="247" spans="1:31" ht="18" hidden="1" customHeight="1" outlineLevel="1" x14ac:dyDescent="0.2">
      <c r="A247" s="30" t="s">
        <v>140</v>
      </c>
      <c r="B247" s="30" t="s">
        <v>22</v>
      </c>
      <c r="C247" s="4">
        <v>0</v>
      </c>
      <c r="D247" s="4">
        <v>0</v>
      </c>
      <c r="F247" s="106" t="s">
        <v>141</v>
      </c>
      <c r="H247" s="61">
        <v>0</v>
      </c>
      <c r="I247" s="61">
        <v>0</v>
      </c>
      <c r="J247" s="61">
        <v>0</v>
      </c>
      <c r="K247" s="86">
        <v>0</v>
      </c>
      <c r="L247" s="86">
        <v>0</v>
      </c>
      <c r="M247" s="61">
        <v>0</v>
      </c>
      <c r="N247" s="61">
        <v>0</v>
      </c>
      <c r="O247" s="61">
        <v>0</v>
      </c>
      <c r="P247" s="61">
        <v>0</v>
      </c>
      <c r="Q247" s="61">
        <v>0</v>
      </c>
      <c r="R247" s="61">
        <v>0</v>
      </c>
      <c r="S247" s="61">
        <v>0</v>
      </c>
      <c r="T247" s="61">
        <v>0</v>
      </c>
      <c r="U247" s="61">
        <v>0</v>
      </c>
      <c r="V247" s="61">
        <v>0</v>
      </c>
      <c r="W247" s="61">
        <v>0</v>
      </c>
      <c r="X247" s="61">
        <v>0</v>
      </c>
      <c r="Y247" s="61">
        <v>0</v>
      </c>
      <c r="AA247" s="61">
        <v>0</v>
      </c>
      <c r="AB247" s="60">
        <v>0</v>
      </c>
      <c r="AD247" s="61">
        <v>0</v>
      </c>
      <c r="AE247" s="60">
        <v>0</v>
      </c>
    </row>
    <row r="248" spans="1:31" ht="18" hidden="1" customHeight="1" outlineLevel="1" x14ac:dyDescent="0.2">
      <c r="A248" s="30" t="s">
        <v>123</v>
      </c>
      <c r="B248" s="30" t="s">
        <v>22</v>
      </c>
      <c r="C248" s="4">
        <v>0</v>
      </c>
      <c r="D248" s="4">
        <v>0</v>
      </c>
      <c r="F248" s="106" t="s">
        <v>142</v>
      </c>
      <c r="H248" s="61">
        <v>0</v>
      </c>
      <c r="I248" s="61">
        <v>0</v>
      </c>
      <c r="J248" s="61">
        <v>0</v>
      </c>
      <c r="K248" s="86">
        <v>0</v>
      </c>
      <c r="L248" s="86">
        <v>0</v>
      </c>
      <c r="M248" s="61">
        <v>0</v>
      </c>
      <c r="N248" s="61">
        <v>0</v>
      </c>
      <c r="O248" s="61">
        <v>0</v>
      </c>
      <c r="P248" s="61">
        <v>0</v>
      </c>
      <c r="Q248" s="61">
        <v>0</v>
      </c>
      <c r="R248" s="61">
        <v>0</v>
      </c>
      <c r="S248" s="61">
        <v>0</v>
      </c>
      <c r="T248" s="61">
        <v>0</v>
      </c>
      <c r="U248" s="61">
        <v>0</v>
      </c>
      <c r="V248" s="61">
        <v>0</v>
      </c>
      <c r="W248" s="61">
        <v>0</v>
      </c>
      <c r="X248" s="61">
        <v>0</v>
      </c>
      <c r="Y248" s="61">
        <v>0</v>
      </c>
      <c r="AA248" s="61">
        <v>0</v>
      </c>
      <c r="AB248" s="60">
        <v>0</v>
      </c>
      <c r="AD248" s="61">
        <v>0</v>
      </c>
      <c r="AE248" s="60">
        <v>0</v>
      </c>
    </row>
    <row r="249" spans="1:31" ht="18" hidden="1" customHeight="1" outlineLevel="1" x14ac:dyDescent="0.2">
      <c r="A249" s="30" t="s">
        <v>124</v>
      </c>
      <c r="B249" s="30" t="s">
        <v>22</v>
      </c>
      <c r="C249" s="4">
        <v>0</v>
      </c>
      <c r="D249" s="4">
        <v>0</v>
      </c>
      <c r="F249" s="106" t="s">
        <v>143</v>
      </c>
      <c r="H249" s="61">
        <v>0</v>
      </c>
      <c r="I249" s="61">
        <v>0</v>
      </c>
      <c r="J249" s="61">
        <v>0</v>
      </c>
      <c r="K249" s="86">
        <v>0</v>
      </c>
      <c r="L249" s="86">
        <v>0</v>
      </c>
      <c r="M249" s="61">
        <v>0</v>
      </c>
      <c r="N249" s="61">
        <v>0</v>
      </c>
      <c r="O249" s="61">
        <v>0</v>
      </c>
      <c r="P249" s="61">
        <v>0</v>
      </c>
      <c r="Q249" s="61">
        <v>0</v>
      </c>
      <c r="R249" s="61">
        <v>0</v>
      </c>
      <c r="S249" s="61">
        <v>0</v>
      </c>
      <c r="T249" s="61">
        <v>0</v>
      </c>
      <c r="U249" s="61">
        <v>0</v>
      </c>
      <c r="V249" s="61">
        <v>0</v>
      </c>
      <c r="W249" s="61">
        <v>0</v>
      </c>
      <c r="X249" s="61">
        <v>0</v>
      </c>
      <c r="Y249" s="61">
        <v>0</v>
      </c>
      <c r="AA249" s="61">
        <v>0</v>
      </c>
      <c r="AB249" s="60">
        <v>0</v>
      </c>
      <c r="AD249" s="61">
        <v>0</v>
      </c>
      <c r="AE249" s="60">
        <v>0</v>
      </c>
    </row>
    <row r="250" spans="1:31" ht="18" hidden="1" customHeight="1" outlineLevel="1" x14ac:dyDescent="0.2">
      <c r="A250" s="30" t="s">
        <v>204</v>
      </c>
      <c r="B250" s="30" t="s">
        <v>22</v>
      </c>
      <c r="C250" s="4">
        <v>0</v>
      </c>
      <c r="D250" s="4">
        <v>0</v>
      </c>
      <c r="F250" s="104" t="s">
        <v>139</v>
      </c>
      <c r="G250" s="36"/>
      <c r="H250" s="65">
        <v>0</v>
      </c>
      <c r="I250" s="65">
        <v>-0.17</v>
      </c>
      <c r="J250" s="65">
        <v>-0.17</v>
      </c>
      <c r="K250" s="90">
        <v>0</v>
      </c>
      <c r="L250" s="90">
        <v>0</v>
      </c>
      <c r="M250" s="65">
        <v>0</v>
      </c>
      <c r="N250" s="65">
        <v>0</v>
      </c>
      <c r="O250" s="65">
        <v>0</v>
      </c>
      <c r="P250" s="65">
        <v>0</v>
      </c>
      <c r="Q250" s="65">
        <v>0</v>
      </c>
      <c r="R250" s="65">
        <v>0</v>
      </c>
      <c r="S250" s="65">
        <v>0</v>
      </c>
      <c r="T250" s="65">
        <v>0</v>
      </c>
      <c r="U250" s="65">
        <v>0</v>
      </c>
      <c r="V250" s="65">
        <v>0</v>
      </c>
      <c r="W250" s="65">
        <v>0</v>
      </c>
      <c r="X250" s="65">
        <v>0</v>
      </c>
      <c r="Y250" s="65">
        <v>0</v>
      </c>
      <c r="Z250" s="36"/>
      <c r="AA250" s="65">
        <v>0</v>
      </c>
      <c r="AB250" s="60">
        <v>0</v>
      </c>
      <c r="AC250" s="36"/>
      <c r="AD250" s="65">
        <v>0</v>
      </c>
      <c r="AE250" s="60">
        <v>0</v>
      </c>
    </row>
    <row r="251" spans="1:31" ht="18" hidden="1" customHeight="1" outlineLevel="1" x14ac:dyDescent="0.2">
      <c r="A251" s="30" t="s">
        <v>82</v>
      </c>
      <c r="B251" s="30" t="s">
        <v>22</v>
      </c>
      <c r="C251" s="4">
        <v>1</v>
      </c>
      <c r="D251" s="4">
        <v>0</v>
      </c>
      <c r="F251" s="106" t="s">
        <v>86</v>
      </c>
      <c r="H251" s="61">
        <v>-0.72599999999999998</v>
      </c>
      <c r="I251" s="61">
        <v>0</v>
      </c>
      <c r="J251" s="61">
        <v>0</v>
      </c>
      <c r="K251" s="86">
        <v>-1</v>
      </c>
      <c r="L251" s="86">
        <v>0</v>
      </c>
      <c r="M251" s="61">
        <v>0</v>
      </c>
      <c r="N251" s="61">
        <v>0</v>
      </c>
      <c r="O251" s="61">
        <v>0</v>
      </c>
      <c r="P251" s="61">
        <v>0</v>
      </c>
      <c r="Q251" s="61">
        <v>0</v>
      </c>
      <c r="R251" s="61">
        <v>0</v>
      </c>
      <c r="S251" s="61">
        <v>0</v>
      </c>
      <c r="T251" s="61">
        <v>0</v>
      </c>
      <c r="U251" s="61">
        <v>0</v>
      </c>
      <c r="V251" s="61">
        <v>0</v>
      </c>
      <c r="W251" s="61">
        <v>0</v>
      </c>
      <c r="X251" s="61">
        <v>0</v>
      </c>
      <c r="Y251" s="61">
        <v>0</v>
      </c>
      <c r="AA251" s="61">
        <v>-1</v>
      </c>
      <c r="AB251" s="60">
        <v>1</v>
      </c>
      <c r="AD251" s="61">
        <v>0</v>
      </c>
      <c r="AE251" s="60">
        <v>0</v>
      </c>
    </row>
    <row r="252" spans="1:31" ht="18" hidden="1" customHeight="1" outlineLevel="1" x14ac:dyDescent="0.2">
      <c r="A252" s="30" t="s">
        <v>144</v>
      </c>
      <c r="B252" s="30" t="s">
        <v>22</v>
      </c>
      <c r="C252" s="4">
        <v>0</v>
      </c>
      <c r="D252" s="4">
        <v>0</v>
      </c>
      <c r="F252" s="106" t="s">
        <v>145</v>
      </c>
      <c r="H252" s="61">
        <v>0</v>
      </c>
      <c r="I252" s="61">
        <v>0</v>
      </c>
      <c r="J252" s="61">
        <v>0</v>
      </c>
      <c r="K252" s="86">
        <v>0</v>
      </c>
      <c r="L252" s="86">
        <v>0</v>
      </c>
      <c r="M252" s="61">
        <v>0</v>
      </c>
      <c r="N252" s="61">
        <v>0</v>
      </c>
      <c r="O252" s="61">
        <v>0</v>
      </c>
      <c r="P252" s="61">
        <v>0</v>
      </c>
      <c r="Q252" s="61">
        <v>0</v>
      </c>
      <c r="R252" s="61">
        <v>0</v>
      </c>
      <c r="S252" s="61">
        <v>0</v>
      </c>
      <c r="T252" s="61">
        <v>0</v>
      </c>
      <c r="U252" s="61">
        <v>0</v>
      </c>
      <c r="V252" s="61">
        <v>0</v>
      </c>
      <c r="W252" s="61">
        <v>0</v>
      </c>
      <c r="X252" s="61">
        <v>0</v>
      </c>
      <c r="Y252" s="61">
        <v>0</v>
      </c>
      <c r="AA252" s="61">
        <v>0</v>
      </c>
      <c r="AB252" s="60">
        <v>0</v>
      </c>
      <c r="AD252" s="61">
        <v>0</v>
      </c>
      <c r="AE252" s="60">
        <v>0</v>
      </c>
    </row>
    <row r="253" spans="1:31" ht="18" customHeight="1" collapsed="1" x14ac:dyDescent="0.2">
      <c r="A253" s="35"/>
      <c r="B253" s="35"/>
      <c r="C253" s="4">
        <v>0.35920000000000002</v>
      </c>
      <c r="D253" s="4">
        <v>5.7647058823529412E-2</v>
      </c>
      <c r="F253" s="95" t="s">
        <v>276</v>
      </c>
      <c r="H253" s="64">
        <v>-27.878999999999998</v>
      </c>
      <c r="I253" s="64">
        <v>-26.624000000000002</v>
      </c>
      <c r="J253" s="64">
        <v>-26.624000000000002</v>
      </c>
      <c r="K253" s="89">
        <v>-25</v>
      </c>
      <c r="L253" s="89">
        <v>-17</v>
      </c>
      <c r="M253" s="64">
        <v>-1.4079999999999999</v>
      </c>
      <c r="N253" s="64">
        <v>-0.35699999999999998</v>
      </c>
      <c r="O253" s="64">
        <v>-0.22700000000000009</v>
      </c>
      <c r="P253" s="64">
        <v>-0.34100000000000019</v>
      </c>
      <c r="Q253" s="64">
        <v>-1.399999999999979E-2</v>
      </c>
      <c r="R253" s="64">
        <v>1.9999999999997797E-3</v>
      </c>
      <c r="S253" s="64">
        <v>0.11400000000000032</v>
      </c>
      <c r="T253" s="64">
        <v>-0.15200000000000014</v>
      </c>
      <c r="U253" s="64">
        <v>-1.6099999999999999</v>
      </c>
      <c r="V253" s="64">
        <v>-4.8710000000000004</v>
      </c>
      <c r="W253" s="64">
        <v>-3.0349999999999984</v>
      </c>
      <c r="X253" s="64">
        <v>-4.1220000000000017</v>
      </c>
      <c r="Y253" s="64">
        <v>-16.021000000000001</v>
      </c>
      <c r="AA253" s="64">
        <v>-25</v>
      </c>
      <c r="AB253" s="60">
        <v>8.98</v>
      </c>
      <c r="AD253" s="64">
        <v>-17</v>
      </c>
      <c r="AE253" s="60">
        <v>0.98</v>
      </c>
    </row>
    <row r="254" spans="1:31" ht="12.95" customHeight="1" x14ac:dyDescent="0.2">
      <c r="A254" s="35"/>
      <c r="B254" s="35"/>
      <c r="C254" s="4"/>
      <c r="D254" s="4"/>
      <c r="F254" s="39" t="s">
        <v>223</v>
      </c>
      <c r="H254" s="56">
        <v>4.1241160864935681E-3</v>
      </c>
      <c r="I254" s="56">
        <v>3.8508930285153248E-3</v>
      </c>
      <c r="J254" s="56">
        <v>3.8508930285153248E-3</v>
      </c>
      <c r="K254" s="109">
        <v>4.234212231589052E-3</v>
      </c>
      <c r="L254" s="109">
        <v>2.7533454361760757E-3</v>
      </c>
      <c r="M254" s="56">
        <v>2.567618825314387E-3</v>
      </c>
      <c r="N254" s="56">
        <v>7.4980939719105028E-4</v>
      </c>
      <c r="O254" s="56">
        <v>4.5754782584157578E-4</v>
      </c>
      <c r="P254" s="56">
        <v>6.6284510223559609E-4</v>
      </c>
      <c r="Q254" s="56">
        <v>2.5234819003260318E-5</v>
      </c>
      <c r="R254" s="56">
        <v>-3.6354779017471753E-6</v>
      </c>
      <c r="S254" s="56">
        <v>-2.3520527850161914E-4</v>
      </c>
      <c r="T254" s="56">
        <v>2.9902776630193195E-4</v>
      </c>
      <c r="U254" s="56">
        <v>3.1600351725653993E-3</v>
      </c>
      <c r="V254" s="56">
        <v>9.7356912720557055E-3</v>
      </c>
      <c r="W254" s="56">
        <v>5.6824883869409475E-3</v>
      </c>
      <c r="X254" s="56">
        <v>7.4969990178603918E-3</v>
      </c>
      <c r="Y254" s="56">
        <v>2.5729478328041615E-3</v>
      </c>
      <c r="AA254" s="56">
        <v>4.234212231589052E-3</v>
      </c>
      <c r="AB254" s="57"/>
      <c r="AD254" s="56">
        <v>2.7533454361760757E-3</v>
      </c>
      <c r="AE254" s="57"/>
    </row>
    <row r="255" spans="1:31" ht="6.95" customHeight="1" x14ac:dyDescent="0.2">
      <c r="C255" s="4"/>
      <c r="D255" s="4"/>
      <c r="F255" s="96"/>
      <c r="H255" s="53"/>
      <c r="I255" s="53"/>
      <c r="J255" s="53"/>
      <c r="K255" s="115"/>
      <c r="L255" s="115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AA255" s="53"/>
      <c r="AD255" s="53"/>
    </row>
    <row r="256" spans="1:31" ht="18" customHeight="1" x14ac:dyDescent="0.2">
      <c r="A256" s="30" t="s">
        <v>73</v>
      </c>
      <c r="B256" s="30" t="s">
        <v>22</v>
      </c>
      <c r="C256" s="4">
        <v>-0.13062499999999999</v>
      </c>
      <c r="D256" s="4">
        <v>4.7894736842105268E-2</v>
      </c>
      <c r="F256" s="106" t="s">
        <v>72</v>
      </c>
      <c r="H256" s="61">
        <v>-13.94</v>
      </c>
      <c r="I256" s="61">
        <v>-16.253</v>
      </c>
      <c r="J256" s="61">
        <v>-16.253</v>
      </c>
      <c r="K256" s="86">
        <v>-16</v>
      </c>
      <c r="L256" s="86">
        <v>-19</v>
      </c>
      <c r="M256" s="61">
        <v>-4.4829999999999997</v>
      </c>
      <c r="N256" s="61">
        <v>-2.4400000000000004</v>
      </c>
      <c r="O256" s="61">
        <v>-2.2490000000000006</v>
      </c>
      <c r="P256" s="61">
        <v>-1.9719999999999995</v>
      </c>
      <c r="Q256" s="61">
        <v>-2.286999999999999</v>
      </c>
      <c r="R256" s="61">
        <v>-1.2920000000000016</v>
      </c>
      <c r="S256" s="61">
        <v>-1.6599999999999984</v>
      </c>
      <c r="T256" s="61">
        <v>1.6399999999999988</v>
      </c>
      <c r="U256" s="61">
        <v>-0.41000000000000014</v>
      </c>
      <c r="V256" s="61">
        <v>-0.55299999999999905</v>
      </c>
      <c r="W256" s="61">
        <v>-1.1859999999999999</v>
      </c>
      <c r="X256" s="61">
        <v>-1.2020000000000017</v>
      </c>
      <c r="Y256" s="61">
        <v>-18.094000000000001</v>
      </c>
      <c r="AA256" s="61">
        <v>-16</v>
      </c>
      <c r="AB256" s="60">
        <v>-2.09</v>
      </c>
      <c r="AD256" s="61">
        <v>-19</v>
      </c>
      <c r="AE256" s="60">
        <v>0.91</v>
      </c>
    </row>
    <row r="257" spans="1:31" ht="18" customHeight="1" x14ac:dyDescent="0.2">
      <c r="A257" s="30" t="s">
        <v>129</v>
      </c>
      <c r="B257" s="30" t="s">
        <v>22</v>
      </c>
      <c r="C257" s="4">
        <v>0.42083333333333334</v>
      </c>
      <c r="D257" s="4">
        <v>7.1428571428571435E-3</v>
      </c>
      <c r="F257" s="106" t="s">
        <v>190</v>
      </c>
      <c r="H257" s="61">
        <v>-7.34</v>
      </c>
      <c r="I257" s="61">
        <v>-12.843999999999999</v>
      </c>
      <c r="J257" s="61">
        <v>-12.843999999999999</v>
      </c>
      <c r="K257" s="86">
        <v>-12</v>
      </c>
      <c r="L257" s="86">
        <v>-7</v>
      </c>
      <c r="M257" s="61">
        <v>-5.0999999999999997E-2</v>
      </c>
      <c r="N257" s="61">
        <v>-1.1950000000000001</v>
      </c>
      <c r="O257" s="61">
        <v>-0.32499999999999996</v>
      </c>
      <c r="P257" s="61">
        <v>-0.39800000000000013</v>
      </c>
      <c r="Q257" s="61">
        <v>-1.498</v>
      </c>
      <c r="R257" s="61">
        <v>-0.4009999999999998</v>
      </c>
      <c r="S257" s="61">
        <v>-1.0070000000000001</v>
      </c>
      <c r="T257" s="61">
        <v>-0.68100000000000005</v>
      </c>
      <c r="U257" s="61">
        <v>-5.4999999999999716E-2</v>
      </c>
      <c r="V257" s="61">
        <v>-0.40600000000000058</v>
      </c>
      <c r="W257" s="61">
        <v>-0.9319999999999995</v>
      </c>
      <c r="X257" s="61">
        <v>0</v>
      </c>
      <c r="Y257" s="61">
        <v>-6.9489999999999998</v>
      </c>
      <c r="AA257" s="61">
        <v>-12</v>
      </c>
      <c r="AB257" s="60">
        <v>5.05</v>
      </c>
      <c r="AD257" s="61">
        <v>-7</v>
      </c>
      <c r="AE257" s="60">
        <v>0.05</v>
      </c>
    </row>
    <row r="258" spans="1:31" ht="18" customHeight="1" x14ac:dyDescent="0.2">
      <c r="A258" s="30" t="s">
        <v>78</v>
      </c>
      <c r="B258" s="30" t="s">
        <v>22</v>
      </c>
      <c r="C258" s="4">
        <v>-0.54</v>
      </c>
      <c r="D258" s="4">
        <v>0.1149425287356322</v>
      </c>
      <c r="F258" s="106" t="s">
        <v>77</v>
      </c>
      <c r="H258" s="61">
        <v>-5.2510000000000003</v>
      </c>
      <c r="I258" s="61">
        <v>-4.3019999999999996</v>
      </c>
      <c r="J258" s="61">
        <v>-4.3019999999999996</v>
      </c>
      <c r="K258" s="86">
        <v>-5</v>
      </c>
      <c r="L258" s="86">
        <v>-8.6999999999999993</v>
      </c>
      <c r="M258" s="61">
        <v>-0.2</v>
      </c>
      <c r="N258" s="61">
        <v>-0.16399999999999998</v>
      </c>
      <c r="O258" s="61">
        <v>-2.7370000000000001</v>
      </c>
      <c r="P258" s="61">
        <v>-0.29099999999999993</v>
      </c>
      <c r="Q258" s="61">
        <v>-3.2660000000000005</v>
      </c>
      <c r="R258" s="61">
        <v>-0.17899999999999938</v>
      </c>
      <c r="S258" s="61">
        <v>-0.11699999999999999</v>
      </c>
      <c r="T258" s="61">
        <v>-0.16400000000000059</v>
      </c>
      <c r="U258" s="61">
        <v>-0.12699999999999978</v>
      </c>
      <c r="V258" s="61">
        <v>-6.7000000000000171E-2</v>
      </c>
      <c r="W258" s="61">
        <v>-0.21099999999999941</v>
      </c>
      <c r="X258" s="61">
        <v>-0.17500000000000071</v>
      </c>
      <c r="Y258" s="61">
        <v>-7.6980000000000004</v>
      </c>
      <c r="AA258" s="61">
        <v>-5</v>
      </c>
      <c r="AB258" s="60">
        <v>-2.7</v>
      </c>
      <c r="AD258" s="61">
        <v>-8.6999999999999993</v>
      </c>
      <c r="AE258" s="60">
        <v>1</v>
      </c>
    </row>
    <row r="259" spans="1:31" ht="18" customHeight="1" x14ac:dyDescent="0.2">
      <c r="A259" s="30" t="s">
        <v>75</v>
      </c>
      <c r="B259" s="30" t="s">
        <v>22</v>
      </c>
      <c r="C259" s="4">
        <v>0.24846153846153846</v>
      </c>
      <c r="D259" s="4">
        <v>2.3E-2</v>
      </c>
      <c r="F259" s="106" t="s">
        <v>76</v>
      </c>
      <c r="H259" s="61">
        <v>-9.6850000000000005</v>
      </c>
      <c r="I259" s="61">
        <v>-11.319000000000001</v>
      </c>
      <c r="J259" s="61">
        <v>-11.319000000000001</v>
      </c>
      <c r="K259" s="86">
        <v>-13</v>
      </c>
      <c r="L259" s="86">
        <v>-10</v>
      </c>
      <c r="M259" s="61">
        <v>-1.194</v>
      </c>
      <c r="N259" s="61">
        <v>-0.69599999999999995</v>
      </c>
      <c r="O259" s="61">
        <v>-0.60000000000000031</v>
      </c>
      <c r="P259" s="61">
        <v>-1.0219999999999998</v>
      </c>
      <c r="Q259" s="61">
        <v>-0.83899999999999997</v>
      </c>
      <c r="R259" s="61">
        <v>0.25100000000000033</v>
      </c>
      <c r="S259" s="61">
        <v>-1.1630000000000003</v>
      </c>
      <c r="T259" s="61">
        <v>-1.117</v>
      </c>
      <c r="U259" s="61">
        <v>-0.75800000000000001</v>
      </c>
      <c r="V259" s="61">
        <v>-0.86999999999999922</v>
      </c>
      <c r="W259" s="61">
        <v>-0.60000000000000142</v>
      </c>
      <c r="X259" s="61">
        <v>-1.1669999999999998</v>
      </c>
      <c r="Y259" s="61">
        <v>-9.7750000000000004</v>
      </c>
      <c r="AA259" s="61">
        <v>-13</v>
      </c>
      <c r="AB259" s="60">
        <v>3.23</v>
      </c>
      <c r="AD259" s="61">
        <v>-10</v>
      </c>
      <c r="AE259" s="60">
        <v>0.23</v>
      </c>
    </row>
    <row r="260" spans="1:31" ht="18" customHeight="1" x14ac:dyDescent="0.2">
      <c r="A260" s="30" t="s">
        <v>181</v>
      </c>
      <c r="B260" s="30" t="s">
        <v>22</v>
      </c>
      <c r="C260" s="4">
        <v>-5.0227272727272725E-2</v>
      </c>
      <c r="D260" s="4">
        <v>-4.5652173913043473E-3</v>
      </c>
      <c r="F260" s="106" t="s">
        <v>182</v>
      </c>
      <c r="H260" s="61">
        <v>-40.036999999999999</v>
      </c>
      <c r="I260" s="61">
        <v>-42.488</v>
      </c>
      <c r="J260" s="61">
        <v>-42.488</v>
      </c>
      <c r="K260" s="86">
        <v>-44</v>
      </c>
      <c r="L260" s="86">
        <v>-46</v>
      </c>
      <c r="M260" s="61">
        <v>-3.91</v>
      </c>
      <c r="N260" s="61">
        <v>-3.5309999999999997</v>
      </c>
      <c r="O260" s="61">
        <v>-3.9110000000000005</v>
      </c>
      <c r="P260" s="61">
        <v>-3.7430000000000003</v>
      </c>
      <c r="Q260" s="61">
        <v>-3.8680000000000003</v>
      </c>
      <c r="R260" s="61">
        <v>-3.7419999999999973</v>
      </c>
      <c r="S260" s="61">
        <v>-3.7840000000000025</v>
      </c>
      <c r="T260" s="61">
        <v>-3.7839999999999989</v>
      </c>
      <c r="U260" s="61">
        <v>-4.5890000000000022</v>
      </c>
      <c r="V260" s="61">
        <v>-3.7839999999999989</v>
      </c>
      <c r="W260" s="61">
        <v>-3.7430000000000021</v>
      </c>
      <c r="X260" s="61">
        <v>-3.8249999999999957</v>
      </c>
      <c r="Y260" s="61">
        <v>-46.213999999999999</v>
      </c>
      <c r="AA260" s="61">
        <v>-44</v>
      </c>
      <c r="AB260" s="60">
        <v>-2.21</v>
      </c>
      <c r="AD260" s="61">
        <v>-46</v>
      </c>
      <c r="AE260" s="60">
        <v>-0.21</v>
      </c>
    </row>
    <row r="261" spans="1:31" ht="18" customHeight="1" x14ac:dyDescent="0.2">
      <c r="A261" s="30" t="s">
        <v>90</v>
      </c>
      <c r="B261" s="30" t="s">
        <v>22</v>
      </c>
      <c r="C261" s="4">
        <v>-8.1250000000000003E-2</v>
      </c>
      <c r="D261" s="4">
        <v>-1.7647058823529412E-2</v>
      </c>
      <c r="F261" s="106" t="s">
        <v>95</v>
      </c>
      <c r="H261" s="61">
        <v>-20.32</v>
      </c>
      <c r="I261" s="61">
        <v>-16.324000000000002</v>
      </c>
      <c r="J261" s="61">
        <v>-16.324000000000002</v>
      </c>
      <c r="K261" s="86">
        <v>-16</v>
      </c>
      <c r="L261" s="86">
        <v>-17</v>
      </c>
      <c r="M261" s="61">
        <v>-1.4279999999999999</v>
      </c>
      <c r="N261" s="61">
        <v>-1.29</v>
      </c>
      <c r="O261" s="61">
        <v>-1.673</v>
      </c>
      <c r="P261" s="61">
        <v>-1.4870000000000001</v>
      </c>
      <c r="Q261" s="61">
        <v>-1.5199999999999996</v>
      </c>
      <c r="R261" s="61">
        <v>-1.2810000000000006</v>
      </c>
      <c r="S261" s="61">
        <v>-1.5000000000000568E-2</v>
      </c>
      <c r="T261" s="61">
        <v>-2.8999999999999986</v>
      </c>
      <c r="U261" s="61">
        <v>-1.4450000000000003</v>
      </c>
      <c r="V261" s="61">
        <v>-1.4160000000000004</v>
      </c>
      <c r="W261" s="61">
        <v>4.09</v>
      </c>
      <c r="X261" s="61">
        <v>-6.9339999999999993</v>
      </c>
      <c r="Y261" s="61">
        <v>-17.298999999999999</v>
      </c>
      <c r="AA261" s="61">
        <v>-16</v>
      </c>
      <c r="AB261" s="60">
        <v>-1.3</v>
      </c>
      <c r="AD261" s="61">
        <v>-17</v>
      </c>
      <c r="AE261" s="60">
        <v>-0.3</v>
      </c>
    </row>
    <row r="262" spans="1:31" ht="18" customHeight="1" x14ac:dyDescent="0.2">
      <c r="A262" s="30" t="s">
        <v>91</v>
      </c>
      <c r="B262" s="30" t="s">
        <v>22</v>
      </c>
      <c r="C262" s="4">
        <v>0.78</v>
      </c>
      <c r="D262" s="4">
        <v>-1.004566210045662</v>
      </c>
      <c r="F262" s="106" t="s">
        <v>96</v>
      </c>
      <c r="H262" s="61">
        <v>-1.544</v>
      </c>
      <c r="I262" s="61">
        <v>-1.744</v>
      </c>
      <c r="J262" s="61">
        <v>-1.744</v>
      </c>
      <c r="K262" s="86">
        <v>-2</v>
      </c>
      <c r="L262" s="86">
        <v>0</v>
      </c>
      <c r="M262" s="61">
        <v>-5.0000000000000001E-3</v>
      </c>
      <c r="N262" s="61">
        <v>-0.24199999999999999</v>
      </c>
      <c r="O262" s="61">
        <v>-3.5999999999999976E-2</v>
      </c>
      <c r="P262" s="61">
        <v>3.4999999999999976E-2</v>
      </c>
      <c r="Q262" s="61">
        <v>0</v>
      </c>
      <c r="R262" s="61">
        <v>0</v>
      </c>
      <c r="S262" s="61">
        <v>0</v>
      </c>
      <c r="T262" s="61">
        <v>0</v>
      </c>
      <c r="U262" s="61">
        <v>-5.5999999999999994E-2</v>
      </c>
      <c r="V262" s="61">
        <v>0</v>
      </c>
      <c r="W262" s="61">
        <v>-0.13400000000000001</v>
      </c>
      <c r="X262" s="61">
        <v>0</v>
      </c>
      <c r="Y262" s="61">
        <v>-0.438</v>
      </c>
      <c r="AA262" s="61">
        <v>-2</v>
      </c>
      <c r="AB262" s="60">
        <v>1.56</v>
      </c>
      <c r="AD262" s="61">
        <v>0</v>
      </c>
      <c r="AE262" s="60">
        <v>-0.44</v>
      </c>
    </row>
    <row r="263" spans="1:31" ht="18" customHeight="1" x14ac:dyDescent="0.2">
      <c r="A263" s="30" t="s">
        <v>74</v>
      </c>
      <c r="B263" s="30" t="s">
        <v>22</v>
      </c>
      <c r="C263" s="4">
        <v>9.9999999999999992E-2</v>
      </c>
      <c r="D263" s="4">
        <v>-5.8823529411764705E-3</v>
      </c>
      <c r="F263" s="106" t="s">
        <v>97</v>
      </c>
      <c r="H263" s="61">
        <v>-19.609000000000002</v>
      </c>
      <c r="I263" s="61">
        <v>-24.85</v>
      </c>
      <c r="J263" s="61">
        <v>-24.85</v>
      </c>
      <c r="K263" s="86">
        <v>-19</v>
      </c>
      <c r="L263" s="86">
        <v>-17</v>
      </c>
      <c r="M263" s="61">
        <v>-1.7689999999999999</v>
      </c>
      <c r="N263" s="61">
        <v>-1.3190000000000002</v>
      </c>
      <c r="O263" s="61">
        <v>-0.54</v>
      </c>
      <c r="P263" s="61">
        <v>-1.0780000000000003</v>
      </c>
      <c r="Q263" s="61">
        <v>-3.0149999999999997</v>
      </c>
      <c r="R263" s="61">
        <v>-0.57499999999999929</v>
      </c>
      <c r="S263" s="61">
        <v>-0.95700000000000074</v>
      </c>
      <c r="T263" s="61">
        <v>-1.4670000000000005</v>
      </c>
      <c r="U263" s="61">
        <v>-1.5489999999999995</v>
      </c>
      <c r="V263" s="61">
        <v>-1.7419999999999991</v>
      </c>
      <c r="W263" s="61">
        <v>-1.7010000000000005</v>
      </c>
      <c r="X263" s="61">
        <v>-1.3900000000000006</v>
      </c>
      <c r="Y263" s="61">
        <v>-17.102</v>
      </c>
      <c r="AA263" s="61">
        <v>-19</v>
      </c>
      <c r="AB263" s="60">
        <v>1.9</v>
      </c>
      <c r="AD263" s="61">
        <v>-17</v>
      </c>
      <c r="AE263" s="60">
        <v>-0.1</v>
      </c>
    </row>
    <row r="264" spans="1:31" s="253" customFormat="1" ht="18" customHeight="1" x14ac:dyDescent="0.2">
      <c r="A264" s="275" t="s">
        <v>447</v>
      </c>
      <c r="B264" s="254" t="s">
        <v>22</v>
      </c>
      <c r="C264" s="252">
        <v>0</v>
      </c>
      <c r="D264" s="252">
        <v>0</v>
      </c>
      <c r="F264" s="266" t="s">
        <v>446</v>
      </c>
      <c r="H264" s="257">
        <v>0</v>
      </c>
      <c r="I264" s="257">
        <v>0</v>
      </c>
      <c r="J264" s="257">
        <v>0</v>
      </c>
      <c r="K264" s="258">
        <v>0</v>
      </c>
      <c r="L264" s="258">
        <v>0</v>
      </c>
      <c r="M264" s="257">
        <v>0</v>
      </c>
      <c r="N264" s="257">
        <v>0</v>
      </c>
      <c r="O264" s="257">
        <v>0</v>
      </c>
      <c r="P264" s="257">
        <v>0</v>
      </c>
      <c r="Q264" s="257">
        <v>0</v>
      </c>
      <c r="R264" s="257">
        <v>0</v>
      </c>
      <c r="S264" s="257">
        <v>0</v>
      </c>
      <c r="T264" s="257">
        <v>0</v>
      </c>
      <c r="U264" s="257">
        <v>0</v>
      </c>
      <c r="V264" s="257">
        <v>0</v>
      </c>
      <c r="W264" s="257">
        <v>0</v>
      </c>
      <c r="X264" s="257">
        <v>0</v>
      </c>
      <c r="Y264" s="257">
        <v>0</v>
      </c>
      <c r="AA264" s="257">
        <v>0</v>
      </c>
      <c r="AB264" s="256">
        <v>0</v>
      </c>
      <c r="AD264" s="257">
        <v>0</v>
      </c>
      <c r="AE264" s="256">
        <v>0</v>
      </c>
    </row>
    <row r="265" spans="1:31" ht="18" customHeight="1" x14ac:dyDescent="0.2">
      <c r="A265" s="30" t="s">
        <v>197</v>
      </c>
      <c r="B265" s="30" t="s">
        <v>22</v>
      </c>
      <c r="C265" s="4">
        <v>-0.19600000000000001</v>
      </c>
      <c r="D265" s="4">
        <v>-1.0003345600535298</v>
      </c>
      <c r="F265" s="106" t="s">
        <v>198</v>
      </c>
      <c r="H265" s="61">
        <v>-5.5709999999999997</v>
      </c>
      <c r="I265" s="61">
        <v>-5.7469999999999999</v>
      </c>
      <c r="J265" s="61">
        <v>-5.7469999999999999</v>
      </c>
      <c r="K265" s="86">
        <v>-5</v>
      </c>
      <c r="L265" s="86">
        <v>0</v>
      </c>
      <c r="M265" s="61">
        <v>0</v>
      </c>
      <c r="N265" s="61">
        <v>0</v>
      </c>
      <c r="O265" s="61">
        <v>0</v>
      </c>
      <c r="P265" s="61">
        <v>0</v>
      </c>
      <c r="Q265" s="61">
        <v>0</v>
      </c>
      <c r="R265" s="61">
        <v>0</v>
      </c>
      <c r="S265" s="61">
        <v>0</v>
      </c>
      <c r="T265" s="61">
        <v>0</v>
      </c>
      <c r="U265" s="61">
        <v>0</v>
      </c>
      <c r="V265" s="61">
        <v>0</v>
      </c>
      <c r="W265" s="61">
        <v>-4.3620000000000001</v>
      </c>
      <c r="X265" s="61">
        <v>-1.6159999999999997</v>
      </c>
      <c r="Y265" s="61">
        <v>-5.9779999999999998</v>
      </c>
      <c r="AA265" s="61">
        <v>-5</v>
      </c>
      <c r="AB265" s="60">
        <v>-0.98</v>
      </c>
      <c r="AD265" s="61">
        <v>0</v>
      </c>
      <c r="AE265" s="60">
        <v>-5.98</v>
      </c>
    </row>
    <row r="266" spans="1:31" ht="18" customHeight="1" x14ac:dyDescent="0.2">
      <c r="A266" s="30" t="s">
        <v>92</v>
      </c>
      <c r="B266" s="30" t="s">
        <v>22</v>
      </c>
      <c r="C266" s="4">
        <v>0.13033386895197285</v>
      </c>
      <c r="D266" s="4">
        <v>0.13033386895197285</v>
      </c>
      <c r="F266" s="106" t="s">
        <v>98</v>
      </c>
      <c r="H266" s="61">
        <v>-4.3360000000000003</v>
      </c>
      <c r="I266" s="61">
        <v>-5.0979999999999999</v>
      </c>
      <c r="J266" s="61">
        <v>-5.0979999999999999</v>
      </c>
      <c r="K266" s="86">
        <v>-5.601</v>
      </c>
      <c r="L266" s="86">
        <v>-5.601</v>
      </c>
      <c r="M266" s="61">
        <v>-0.376</v>
      </c>
      <c r="N266" s="61">
        <v>-0.44799999999999995</v>
      </c>
      <c r="O266" s="61">
        <v>-0.45499999999999996</v>
      </c>
      <c r="P266" s="61">
        <v>-0.42700000000000005</v>
      </c>
      <c r="Q266" s="61">
        <v>-0.42600000000000016</v>
      </c>
      <c r="R266" s="61">
        <v>-0.42599999999999971</v>
      </c>
      <c r="S266" s="61">
        <v>-0.42700000000000005</v>
      </c>
      <c r="T266" s="61">
        <v>-0.42600000000000016</v>
      </c>
      <c r="U266" s="61">
        <v>-0.42700000000000005</v>
      </c>
      <c r="V266" s="61">
        <v>-0.36099999999999977</v>
      </c>
      <c r="W266" s="61">
        <v>-0.33699999999999974</v>
      </c>
      <c r="X266" s="61">
        <v>-0.33700000000000063</v>
      </c>
      <c r="Y266" s="61">
        <v>-4.8730000000000002</v>
      </c>
      <c r="AA266" s="61">
        <v>-5.601</v>
      </c>
      <c r="AB266" s="60">
        <v>0.73</v>
      </c>
      <c r="AD266" s="61">
        <v>-5.601</v>
      </c>
      <c r="AE266" s="60">
        <v>0.73</v>
      </c>
    </row>
    <row r="267" spans="1:31" ht="18" hidden="1" customHeight="1" outlineLevel="1" x14ac:dyDescent="0.2">
      <c r="A267" s="30" t="s">
        <v>172</v>
      </c>
      <c r="B267" s="30" t="s">
        <v>22</v>
      </c>
      <c r="C267" s="4">
        <v>0</v>
      </c>
      <c r="D267" s="4">
        <v>0</v>
      </c>
      <c r="F267" s="38" t="s">
        <v>173</v>
      </c>
      <c r="G267" s="34"/>
      <c r="H267" s="66">
        <v>0</v>
      </c>
      <c r="I267" s="66">
        <v>0</v>
      </c>
      <c r="J267" s="66">
        <v>0</v>
      </c>
      <c r="K267" s="86">
        <v>0</v>
      </c>
      <c r="L267" s="86">
        <v>0</v>
      </c>
      <c r="M267" s="66">
        <v>0</v>
      </c>
      <c r="N267" s="66">
        <v>0</v>
      </c>
      <c r="O267" s="66">
        <v>0</v>
      </c>
      <c r="P267" s="66">
        <v>0</v>
      </c>
      <c r="Q267" s="66">
        <v>0</v>
      </c>
      <c r="R267" s="66">
        <v>0</v>
      </c>
      <c r="S267" s="66">
        <v>0</v>
      </c>
      <c r="T267" s="66">
        <v>0</v>
      </c>
      <c r="U267" s="66">
        <v>0</v>
      </c>
      <c r="V267" s="66">
        <v>0</v>
      </c>
      <c r="W267" s="66">
        <v>0</v>
      </c>
      <c r="X267" s="66">
        <v>0</v>
      </c>
      <c r="Y267" s="66">
        <v>0</v>
      </c>
      <c r="Z267" s="34"/>
      <c r="AA267" s="66">
        <v>0</v>
      </c>
      <c r="AB267" s="60">
        <v>0</v>
      </c>
      <c r="AC267" s="34"/>
      <c r="AD267" s="66">
        <v>0</v>
      </c>
      <c r="AE267" s="60">
        <v>0</v>
      </c>
    </row>
    <row r="268" spans="1:31" ht="18" hidden="1" customHeight="1" outlineLevel="1" x14ac:dyDescent="0.2">
      <c r="A268" s="30" t="s">
        <v>88</v>
      </c>
      <c r="B268" s="30" t="s">
        <v>22</v>
      </c>
      <c r="C268" s="4">
        <v>0</v>
      </c>
      <c r="D268" s="4">
        <v>0</v>
      </c>
      <c r="F268" s="38" t="s">
        <v>93</v>
      </c>
      <c r="G268" s="34"/>
      <c r="H268" s="66">
        <v>0</v>
      </c>
      <c r="I268" s="66">
        <v>0</v>
      </c>
      <c r="J268" s="66">
        <v>0</v>
      </c>
      <c r="K268" s="86">
        <v>0</v>
      </c>
      <c r="L268" s="86">
        <v>0</v>
      </c>
      <c r="M268" s="66">
        <v>0</v>
      </c>
      <c r="N268" s="66">
        <v>0</v>
      </c>
      <c r="O268" s="66">
        <v>0</v>
      </c>
      <c r="P268" s="66">
        <v>0</v>
      </c>
      <c r="Q268" s="66">
        <v>0</v>
      </c>
      <c r="R268" s="66">
        <v>0</v>
      </c>
      <c r="S268" s="66">
        <v>0</v>
      </c>
      <c r="T268" s="66">
        <v>0</v>
      </c>
      <c r="U268" s="66">
        <v>0</v>
      </c>
      <c r="V268" s="66">
        <v>0</v>
      </c>
      <c r="W268" s="66">
        <v>0</v>
      </c>
      <c r="X268" s="66">
        <v>0</v>
      </c>
      <c r="Y268" s="66">
        <v>0</v>
      </c>
      <c r="Z268" s="34"/>
      <c r="AA268" s="66">
        <v>0</v>
      </c>
      <c r="AB268" s="60">
        <v>0</v>
      </c>
      <c r="AC268" s="34"/>
      <c r="AD268" s="66">
        <v>0</v>
      </c>
      <c r="AE268" s="60">
        <v>0</v>
      </c>
    </row>
    <row r="269" spans="1:31" ht="18" hidden="1" customHeight="1" outlineLevel="1" x14ac:dyDescent="0.2">
      <c r="A269" s="30" t="s">
        <v>174</v>
      </c>
      <c r="B269" s="30" t="s">
        <v>22</v>
      </c>
      <c r="C269" s="4">
        <v>0</v>
      </c>
      <c r="D269" s="4">
        <v>0</v>
      </c>
      <c r="F269" s="38" t="s">
        <v>175</v>
      </c>
      <c r="G269" s="34"/>
      <c r="H269" s="66">
        <v>0</v>
      </c>
      <c r="I269" s="66">
        <v>0</v>
      </c>
      <c r="J269" s="66">
        <v>0</v>
      </c>
      <c r="K269" s="86">
        <v>0</v>
      </c>
      <c r="L269" s="86">
        <v>0</v>
      </c>
      <c r="M269" s="66">
        <v>0</v>
      </c>
      <c r="N269" s="66">
        <v>0</v>
      </c>
      <c r="O269" s="66">
        <v>0</v>
      </c>
      <c r="P269" s="66">
        <v>0</v>
      </c>
      <c r="Q269" s="66">
        <v>0</v>
      </c>
      <c r="R269" s="66">
        <v>0</v>
      </c>
      <c r="S269" s="66">
        <v>0</v>
      </c>
      <c r="T269" s="66">
        <v>0</v>
      </c>
      <c r="U269" s="66">
        <v>0</v>
      </c>
      <c r="V269" s="66">
        <v>0</v>
      </c>
      <c r="W269" s="66">
        <v>0</v>
      </c>
      <c r="X269" s="66">
        <v>0</v>
      </c>
      <c r="Y269" s="66">
        <v>0</v>
      </c>
      <c r="Z269" s="34"/>
      <c r="AA269" s="66">
        <v>0</v>
      </c>
      <c r="AB269" s="60">
        <v>0</v>
      </c>
      <c r="AC269" s="34"/>
      <c r="AD269" s="66">
        <v>0</v>
      </c>
      <c r="AE269" s="60">
        <v>0</v>
      </c>
    </row>
    <row r="270" spans="1:31" ht="18" hidden="1" customHeight="1" outlineLevel="1" x14ac:dyDescent="0.2">
      <c r="A270" s="30" t="s">
        <v>191</v>
      </c>
      <c r="B270" s="30" t="s">
        <v>22</v>
      </c>
      <c r="C270" s="4">
        <v>0</v>
      </c>
      <c r="D270" s="4">
        <v>0</v>
      </c>
      <c r="F270" s="38" t="s">
        <v>192</v>
      </c>
      <c r="G270" s="34"/>
      <c r="H270" s="66">
        <v>0</v>
      </c>
      <c r="I270" s="66">
        <v>0</v>
      </c>
      <c r="J270" s="66">
        <v>0</v>
      </c>
      <c r="K270" s="86">
        <v>0</v>
      </c>
      <c r="L270" s="86">
        <v>0</v>
      </c>
      <c r="M270" s="66">
        <v>0</v>
      </c>
      <c r="N270" s="66">
        <v>0</v>
      </c>
      <c r="O270" s="66">
        <v>0</v>
      </c>
      <c r="P270" s="66">
        <v>0</v>
      </c>
      <c r="Q270" s="66">
        <v>0</v>
      </c>
      <c r="R270" s="66">
        <v>0</v>
      </c>
      <c r="S270" s="66">
        <v>0</v>
      </c>
      <c r="T270" s="66">
        <v>0</v>
      </c>
      <c r="U270" s="66">
        <v>0</v>
      </c>
      <c r="V270" s="66">
        <v>0</v>
      </c>
      <c r="W270" s="66">
        <v>0</v>
      </c>
      <c r="X270" s="66">
        <v>0</v>
      </c>
      <c r="Y270" s="66">
        <v>0</v>
      </c>
      <c r="Z270" s="34"/>
      <c r="AA270" s="66">
        <v>0</v>
      </c>
      <c r="AB270" s="60">
        <v>0</v>
      </c>
      <c r="AC270" s="34"/>
      <c r="AD270" s="66">
        <v>0</v>
      </c>
      <c r="AE270" s="60">
        <v>0</v>
      </c>
    </row>
    <row r="271" spans="1:31" ht="18" hidden="1" customHeight="1" outlineLevel="1" x14ac:dyDescent="0.2">
      <c r="A271" s="30" t="s">
        <v>130</v>
      </c>
      <c r="B271" s="30" t="s">
        <v>22</v>
      </c>
      <c r="C271" s="4">
        <v>0</v>
      </c>
      <c r="D271" s="4">
        <v>0</v>
      </c>
      <c r="F271" s="38" t="s">
        <v>176</v>
      </c>
      <c r="G271" s="34"/>
      <c r="H271" s="66">
        <v>0</v>
      </c>
      <c r="I271" s="66">
        <v>0</v>
      </c>
      <c r="J271" s="66">
        <v>0</v>
      </c>
      <c r="K271" s="86">
        <v>0</v>
      </c>
      <c r="L271" s="86">
        <v>0</v>
      </c>
      <c r="M271" s="66">
        <v>0</v>
      </c>
      <c r="N271" s="66">
        <v>0</v>
      </c>
      <c r="O271" s="66">
        <v>0</v>
      </c>
      <c r="P271" s="66">
        <v>0</v>
      </c>
      <c r="Q271" s="66">
        <v>0</v>
      </c>
      <c r="R271" s="66">
        <v>0</v>
      </c>
      <c r="S271" s="66">
        <v>0</v>
      </c>
      <c r="T271" s="66">
        <v>0</v>
      </c>
      <c r="U271" s="66">
        <v>0</v>
      </c>
      <c r="V271" s="66">
        <v>0</v>
      </c>
      <c r="W271" s="66">
        <v>0</v>
      </c>
      <c r="X271" s="66">
        <v>0</v>
      </c>
      <c r="Y271" s="66">
        <v>0</v>
      </c>
      <c r="Z271" s="34"/>
      <c r="AA271" s="66">
        <v>0</v>
      </c>
      <c r="AB271" s="60">
        <v>0</v>
      </c>
      <c r="AC271" s="34"/>
      <c r="AD271" s="66">
        <v>0</v>
      </c>
      <c r="AE271" s="60">
        <v>0</v>
      </c>
    </row>
    <row r="272" spans="1:31" ht="18" hidden="1" customHeight="1" outlineLevel="1" x14ac:dyDescent="0.2">
      <c r="A272" s="30" t="s">
        <v>177</v>
      </c>
      <c r="B272" s="30" t="s">
        <v>22</v>
      </c>
      <c r="C272" s="4">
        <v>0</v>
      </c>
      <c r="D272" s="4">
        <v>0</v>
      </c>
      <c r="F272" s="38" t="s">
        <v>178</v>
      </c>
      <c r="G272" s="34"/>
      <c r="H272" s="66">
        <v>0</v>
      </c>
      <c r="I272" s="66">
        <v>0</v>
      </c>
      <c r="J272" s="66">
        <v>0</v>
      </c>
      <c r="K272" s="86">
        <v>0</v>
      </c>
      <c r="L272" s="86">
        <v>0</v>
      </c>
      <c r="M272" s="66">
        <v>0</v>
      </c>
      <c r="N272" s="66">
        <v>0</v>
      </c>
      <c r="O272" s="66">
        <v>0</v>
      </c>
      <c r="P272" s="66">
        <v>0</v>
      </c>
      <c r="Q272" s="66">
        <v>0</v>
      </c>
      <c r="R272" s="66">
        <v>0</v>
      </c>
      <c r="S272" s="66">
        <v>0</v>
      </c>
      <c r="T272" s="66">
        <v>0</v>
      </c>
      <c r="U272" s="66">
        <v>0</v>
      </c>
      <c r="V272" s="66">
        <v>0</v>
      </c>
      <c r="W272" s="66">
        <v>0</v>
      </c>
      <c r="X272" s="66">
        <v>0</v>
      </c>
      <c r="Y272" s="66">
        <v>0</v>
      </c>
      <c r="Z272" s="34"/>
      <c r="AA272" s="66">
        <v>0</v>
      </c>
      <c r="AB272" s="60">
        <v>0</v>
      </c>
      <c r="AC272" s="34"/>
      <c r="AD272" s="66">
        <v>0</v>
      </c>
      <c r="AE272" s="60">
        <v>0</v>
      </c>
    </row>
    <row r="273" spans="1:31" ht="18" hidden="1" customHeight="1" outlineLevel="1" x14ac:dyDescent="0.2">
      <c r="A273" s="30" t="s">
        <v>179</v>
      </c>
      <c r="B273" s="30" t="s">
        <v>22</v>
      </c>
      <c r="C273" s="4">
        <v>0</v>
      </c>
      <c r="D273" s="4">
        <v>0</v>
      </c>
      <c r="F273" s="38" t="s">
        <v>180</v>
      </c>
      <c r="G273" s="34"/>
      <c r="H273" s="66">
        <v>0</v>
      </c>
      <c r="I273" s="66">
        <v>0</v>
      </c>
      <c r="J273" s="66">
        <v>0</v>
      </c>
      <c r="K273" s="86">
        <v>0</v>
      </c>
      <c r="L273" s="86">
        <v>0</v>
      </c>
      <c r="M273" s="66">
        <v>0</v>
      </c>
      <c r="N273" s="66">
        <v>0</v>
      </c>
      <c r="O273" s="66">
        <v>0</v>
      </c>
      <c r="P273" s="66">
        <v>0</v>
      </c>
      <c r="Q273" s="66">
        <v>0</v>
      </c>
      <c r="R273" s="66">
        <v>0</v>
      </c>
      <c r="S273" s="66">
        <v>0</v>
      </c>
      <c r="T273" s="66">
        <v>0</v>
      </c>
      <c r="U273" s="66">
        <v>0</v>
      </c>
      <c r="V273" s="66">
        <v>0</v>
      </c>
      <c r="W273" s="66">
        <v>0</v>
      </c>
      <c r="X273" s="66">
        <v>0</v>
      </c>
      <c r="Y273" s="66">
        <v>0</v>
      </c>
      <c r="Z273" s="34"/>
      <c r="AA273" s="66">
        <v>0</v>
      </c>
      <c r="AB273" s="60">
        <v>0</v>
      </c>
      <c r="AC273" s="34"/>
      <c r="AD273" s="66">
        <v>0</v>
      </c>
      <c r="AE273" s="60">
        <v>0</v>
      </c>
    </row>
    <row r="274" spans="1:31" ht="18" hidden="1" customHeight="1" outlineLevel="1" x14ac:dyDescent="0.2">
      <c r="A274" s="30" t="s">
        <v>89</v>
      </c>
      <c r="B274" s="30" t="s">
        <v>22</v>
      </c>
      <c r="C274" s="4">
        <v>-1</v>
      </c>
      <c r="D274" s="4">
        <v>-1</v>
      </c>
      <c r="F274" s="38" t="s">
        <v>187</v>
      </c>
      <c r="G274" s="34"/>
      <c r="H274" s="66">
        <v>0</v>
      </c>
      <c r="I274" s="66">
        <v>0</v>
      </c>
      <c r="J274" s="66">
        <v>0</v>
      </c>
      <c r="K274" s="86">
        <v>0</v>
      </c>
      <c r="L274" s="86">
        <v>0</v>
      </c>
      <c r="M274" s="66">
        <v>0</v>
      </c>
      <c r="N274" s="66">
        <v>0</v>
      </c>
      <c r="O274" s="66">
        <v>0</v>
      </c>
      <c r="P274" s="66">
        <v>0</v>
      </c>
      <c r="Q274" s="66">
        <v>-0.01</v>
      </c>
      <c r="R274" s="66">
        <v>0</v>
      </c>
      <c r="S274" s="66">
        <v>0</v>
      </c>
      <c r="T274" s="66">
        <v>0</v>
      </c>
      <c r="U274" s="66">
        <v>0</v>
      </c>
      <c r="V274" s="66">
        <v>-0.01</v>
      </c>
      <c r="W274" s="66">
        <v>0</v>
      </c>
      <c r="X274" s="66">
        <v>0</v>
      </c>
      <c r="Y274" s="66">
        <v>-0.02</v>
      </c>
      <c r="Z274" s="34"/>
      <c r="AA274" s="66">
        <v>0</v>
      </c>
      <c r="AB274" s="60">
        <v>-0.02</v>
      </c>
      <c r="AC274" s="34"/>
      <c r="AD274" s="66">
        <v>0</v>
      </c>
      <c r="AE274" s="60">
        <v>-0.02</v>
      </c>
    </row>
    <row r="275" spans="1:31" ht="18" hidden="1" customHeight="1" outlineLevel="1" x14ac:dyDescent="0.2">
      <c r="A275" s="30" t="s">
        <v>193</v>
      </c>
      <c r="B275" s="30" t="s">
        <v>22</v>
      </c>
      <c r="C275" s="4">
        <v>0</v>
      </c>
      <c r="D275" s="4">
        <v>0</v>
      </c>
      <c r="F275" s="38" t="s">
        <v>194</v>
      </c>
      <c r="G275" s="34"/>
      <c r="H275" s="66">
        <v>0</v>
      </c>
      <c r="I275" s="66">
        <v>0</v>
      </c>
      <c r="J275" s="66">
        <v>0</v>
      </c>
      <c r="K275" s="86">
        <v>0</v>
      </c>
      <c r="L275" s="86">
        <v>0</v>
      </c>
      <c r="M275" s="66">
        <v>0</v>
      </c>
      <c r="N275" s="66">
        <v>0</v>
      </c>
      <c r="O275" s="66">
        <v>0</v>
      </c>
      <c r="P275" s="66">
        <v>0</v>
      </c>
      <c r="Q275" s="66">
        <v>0</v>
      </c>
      <c r="R275" s="66">
        <v>0</v>
      </c>
      <c r="S275" s="66">
        <v>0</v>
      </c>
      <c r="T275" s="66">
        <v>0</v>
      </c>
      <c r="U275" s="66">
        <v>0</v>
      </c>
      <c r="V275" s="66">
        <v>0</v>
      </c>
      <c r="W275" s="66">
        <v>0</v>
      </c>
      <c r="X275" s="66">
        <v>0</v>
      </c>
      <c r="Y275" s="66">
        <v>0</v>
      </c>
      <c r="Z275" s="34"/>
      <c r="AA275" s="66">
        <v>0</v>
      </c>
      <c r="AB275" s="60">
        <v>0</v>
      </c>
      <c r="AC275" s="34"/>
      <c r="AD275" s="66">
        <v>0</v>
      </c>
      <c r="AE275" s="60">
        <v>0</v>
      </c>
    </row>
    <row r="276" spans="1:31" ht="18" hidden="1" customHeight="1" outlineLevel="1" x14ac:dyDescent="0.2">
      <c r="A276" s="30" t="s">
        <v>127</v>
      </c>
      <c r="B276" s="30" t="s">
        <v>22</v>
      </c>
      <c r="C276" s="4">
        <v>0</v>
      </c>
      <c r="D276" s="4">
        <v>0</v>
      </c>
      <c r="F276" s="38" t="s">
        <v>128</v>
      </c>
      <c r="G276" s="34"/>
      <c r="H276" s="66">
        <v>0</v>
      </c>
      <c r="I276" s="66">
        <v>0</v>
      </c>
      <c r="J276" s="66">
        <v>0</v>
      </c>
      <c r="K276" s="86">
        <v>0</v>
      </c>
      <c r="L276" s="86">
        <v>0</v>
      </c>
      <c r="M276" s="66">
        <v>0</v>
      </c>
      <c r="N276" s="66">
        <v>0</v>
      </c>
      <c r="O276" s="66">
        <v>0</v>
      </c>
      <c r="P276" s="66">
        <v>0</v>
      </c>
      <c r="Q276" s="66">
        <v>0</v>
      </c>
      <c r="R276" s="66">
        <v>0</v>
      </c>
      <c r="S276" s="66">
        <v>0</v>
      </c>
      <c r="T276" s="66">
        <v>0</v>
      </c>
      <c r="U276" s="66">
        <v>0</v>
      </c>
      <c r="V276" s="66">
        <v>0</v>
      </c>
      <c r="W276" s="66">
        <v>0</v>
      </c>
      <c r="X276" s="66">
        <v>0</v>
      </c>
      <c r="Y276" s="66">
        <v>0</v>
      </c>
      <c r="Z276" s="34"/>
      <c r="AA276" s="66">
        <v>0</v>
      </c>
      <c r="AB276" s="60">
        <v>0</v>
      </c>
      <c r="AC276" s="34"/>
      <c r="AD276" s="66">
        <v>0</v>
      </c>
      <c r="AE276" s="60">
        <v>0</v>
      </c>
    </row>
    <row r="277" spans="1:31" ht="18" hidden="1" customHeight="1" outlineLevel="1" x14ac:dyDescent="0.2">
      <c r="A277" s="30" t="s">
        <v>261</v>
      </c>
      <c r="B277" s="30" t="s">
        <v>22</v>
      </c>
      <c r="C277" s="4">
        <v>0</v>
      </c>
      <c r="D277" s="4">
        <v>0</v>
      </c>
      <c r="F277" s="38" t="s">
        <v>262</v>
      </c>
      <c r="G277" s="34"/>
      <c r="H277" s="66">
        <v>0</v>
      </c>
      <c r="I277" s="66">
        <v>0</v>
      </c>
      <c r="J277" s="66">
        <v>0</v>
      </c>
      <c r="K277" s="86">
        <v>0</v>
      </c>
      <c r="L277" s="86">
        <v>0</v>
      </c>
      <c r="M277" s="66">
        <v>0</v>
      </c>
      <c r="N277" s="66">
        <v>0</v>
      </c>
      <c r="O277" s="66">
        <v>0</v>
      </c>
      <c r="P277" s="66">
        <v>0</v>
      </c>
      <c r="Q277" s="66">
        <v>0</v>
      </c>
      <c r="R277" s="66">
        <v>0</v>
      </c>
      <c r="S277" s="66">
        <v>0</v>
      </c>
      <c r="T277" s="66">
        <v>0</v>
      </c>
      <c r="U277" s="66">
        <v>0</v>
      </c>
      <c r="V277" s="66">
        <v>0</v>
      </c>
      <c r="W277" s="66">
        <v>0</v>
      </c>
      <c r="X277" s="66">
        <v>0</v>
      </c>
      <c r="Y277" s="66">
        <v>0</v>
      </c>
      <c r="Z277" s="34"/>
      <c r="AA277" s="66">
        <v>0</v>
      </c>
      <c r="AB277" s="60">
        <v>0</v>
      </c>
      <c r="AC277" s="34"/>
      <c r="AD277" s="66">
        <v>0</v>
      </c>
      <c r="AE277" s="60">
        <v>0</v>
      </c>
    </row>
    <row r="278" spans="1:31" ht="18" hidden="1" customHeight="1" outlineLevel="1" x14ac:dyDescent="0.2">
      <c r="A278" s="30" t="s">
        <v>263</v>
      </c>
      <c r="B278" s="30" t="s">
        <v>22</v>
      </c>
      <c r="C278" s="4">
        <v>0</v>
      </c>
      <c r="D278" s="4">
        <v>0</v>
      </c>
      <c r="F278" s="38" t="s">
        <v>264</v>
      </c>
      <c r="G278" s="34"/>
      <c r="H278" s="66">
        <v>0</v>
      </c>
      <c r="I278" s="66">
        <v>0</v>
      </c>
      <c r="J278" s="66">
        <v>0</v>
      </c>
      <c r="K278" s="86">
        <v>0</v>
      </c>
      <c r="L278" s="86">
        <v>0</v>
      </c>
      <c r="M278" s="66">
        <v>0</v>
      </c>
      <c r="N278" s="66">
        <v>0</v>
      </c>
      <c r="O278" s="66">
        <v>0</v>
      </c>
      <c r="P278" s="66">
        <v>0</v>
      </c>
      <c r="Q278" s="66">
        <v>0</v>
      </c>
      <c r="R278" s="66">
        <v>0</v>
      </c>
      <c r="S278" s="66">
        <v>0</v>
      </c>
      <c r="T278" s="66">
        <v>0</v>
      </c>
      <c r="U278" s="66">
        <v>0</v>
      </c>
      <c r="V278" s="66">
        <v>0</v>
      </c>
      <c r="W278" s="66">
        <v>0</v>
      </c>
      <c r="X278" s="66">
        <v>0</v>
      </c>
      <c r="Y278" s="66">
        <v>0</v>
      </c>
      <c r="Z278" s="34"/>
      <c r="AA278" s="66">
        <v>0</v>
      </c>
      <c r="AB278" s="60">
        <v>0</v>
      </c>
      <c r="AC278" s="34"/>
      <c r="AD278" s="66">
        <v>0</v>
      </c>
      <c r="AE278" s="60">
        <v>0</v>
      </c>
    </row>
    <row r="279" spans="1:31" ht="18" hidden="1" customHeight="1" outlineLevel="1" x14ac:dyDescent="0.2">
      <c r="A279" s="30" t="s">
        <v>195</v>
      </c>
      <c r="B279" s="30" t="s">
        <v>22</v>
      </c>
      <c r="C279" s="4">
        <v>0</v>
      </c>
      <c r="D279" s="4">
        <v>0</v>
      </c>
      <c r="F279" s="38" t="s">
        <v>196</v>
      </c>
      <c r="G279" s="34"/>
      <c r="H279" s="66">
        <v>0</v>
      </c>
      <c r="I279" s="66">
        <v>0</v>
      </c>
      <c r="J279" s="66">
        <v>0</v>
      </c>
      <c r="K279" s="86">
        <v>0</v>
      </c>
      <c r="L279" s="86">
        <v>0</v>
      </c>
      <c r="M279" s="66">
        <v>0</v>
      </c>
      <c r="N279" s="66">
        <v>0</v>
      </c>
      <c r="O279" s="66">
        <v>0</v>
      </c>
      <c r="P279" s="66">
        <v>0</v>
      </c>
      <c r="Q279" s="66">
        <v>0</v>
      </c>
      <c r="R279" s="66">
        <v>0</v>
      </c>
      <c r="S279" s="66">
        <v>0</v>
      </c>
      <c r="T279" s="66">
        <v>0</v>
      </c>
      <c r="U279" s="66">
        <v>0</v>
      </c>
      <c r="V279" s="66">
        <v>0</v>
      </c>
      <c r="W279" s="66">
        <v>0</v>
      </c>
      <c r="X279" s="66">
        <v>0</v>
      </c>
      <c r="Y279" s="66">
        <v>0</v>
      </c>
      <c r="Z279" s="34"/>
      <c r="AA279" s="66">
        <v>0</v>
      </c>
      <c r="AB279" s="60">
        <v>0</v>
      </c>
      <c r="AC279" s="34"/>
      <c r="AD279" s="66">
        <v>0</v>
      </c>
      <c r="AE279" s="60">
        <v>0</v>
      </c>
    </row>
    <row r="280" spans="1:31" ht="18" hidden="1" customHeight="1" outlineLevel="1" x14ac:dyDescent="0.2">
      <c r="A280" s="30" t="s">
        <v>200</v>
      </c>
      <c r="B280" s="30" t="s">
        <v>22</v>
      </c>
      <c r="C280" s="4">
        <v>0</v>
      </c>
      <c r="D280" s="4">
        <v>0</v>
      </c>
      <c r="F280" s="104" t="s">
        <v>183</v>
      </c>
      <c r="G280" s="36"/>
      <c r="H280" s="65">
        <v>0</v>
      </c>
      <c r="I280" s="65">
        <v>0</v>
      </c>
      <c r="J280" s="65">
        <v>0</v>
      </c>
      <c r="K280" s="90">
        <v>0</v>
      </c>
      <c r="L280" s="90">
        <v>0</v>
      </c>
      <c r="M280" s="65">
        <v>0</v>
      </c>
      <c r="N280" s="65">
        <v>0</v>
      </c>
      <c r="O280" s="65">
        <v>0</v>
      </c>
      <c r="P280" s="65">
        <v>0</v>
      </c>
      <c r="Q280" s="65">
        <v>0</v>
      </c>
      <c r="R280" s="65">
        <v>0</v>
      </c>
      <c r="S280" s="65">
        <v>0</v>
      </c>
      <c r="T280" s="65">
        <v>0</v>
      </c>
      <c r="U280" s="65">
        <v>0</v>
      </c>
      <c r="V280" s="65">
        <v>0</v>
      </c>
      <c r="W280" s="65">
        <v>0</v>
      </c>
      <c r="X280" s="65">
        <v>0</v>
      </c>
      <c r="Y280" s="65">
        <v>0</v>
      </c>
      <c r="Z280" s="36"/>
      <c r="AA280" s="65">
        <v>0</v>
      </c>
      <c r="AB280" s="60">
        <v>0</v>
      </c>
      <c r="AC280" s="36"/>
      <c r="AD280" s="65">
        <v>0</v>
      </c>
      <c r="AE280" s="60">
        <v>0</v>
      </c>
    </row>
    <row r="281" spans="1:31" ht="18" hidden="1" customHeight="1" outlineLevel="1" x14ac:dyDescent="0.2">
      <c r="A281" s="30" t="s">
        <v>199</v>
      </c>
      <c r="B281" s="30" t="s">
        <v>22</v>
      </c>
      <c r="C281" s="4">
        <v>0</v>
      </c>
      <c r="D281" s="4">
        <v>0</v>
      </c>
      <c r="F281" s="38" t="s">
        <v>184</v>
      </c>
      <c r="G281" s="34"/>
      <c r="H281" s="66">
        <v>0</v>
      </c>
      <c r="I281" s="66">
        <v>0</v>
      </c>
      <c r="J281" s="66">
        <v>0</v>
      </c>
      <c r="K281" s="86">
        <v>0</v>
      </c>
      <c r="L281" s="86">
        <v>0</v>
      </c>
      <c r="M281" s="66">
        <v>0</v>
      </c>
      <c r="N281" s="66">
        <v>0</v>
      </c>
      <c r="O281" s="66">
        <v>0</v>
      </c>
      <c r="P281" s="66">
        <v>0</v>
      </c>
      <c r="Q281" s="66">
        <v>0</v>
      </c>
      <c r="R281" s="66">
        <v>0</v>
      </c>
      <c r="S281" s="66">
        <v>0</v>
      </c>
      <c r="T281" s="66">
        <v>0</v>
      </c>
      <c r="U281" s="66">
        <v>0</v>
      </c>
      <c r="V281" s="66">
        <v>0</v>
      </c>
      <c r="W281" s="66">
        <v>0</v>
      </c>
      <c r="X281" s="66">
        <v>0</v>
      </c>
      <c r="Y281" s="66">
        <v>0</v>
      </c>
      <c r="Z281" s="34"/>
      <c r="AA281" s="66">
        <v>0</v>
      </c>
      <c r="AB281" s="60">
        <v>0</v>
      </c>
      <c r="AC281" s="34"/>
      <c r="AD281" s="66">
        <v>0</v>
      </c>
      <c r="AE281" s="60">
        <v>0</v>
      </c>
    </row>
    <row r="282" spans="1:31" s="253" customFormat="1" ht="18" hidden="1" customHeight="1" outlineLevel="1" x14ac:dyDescent="0.2">
      <c r="A282" s="276" t="s">
        <v>445</v>
      </c>
      <c r="B282" s="276" t="s">
        <v>22</v>
      </c>
      <c r="C282" s="252">
        <v>-1.0015797788309637</v>
      </c>
      <c r="D282" s="252">
        <v>0</v>
      </c>
      <c r="F282" s="255" t="s">
        <v>452</v>
      </c>
      <c r="G282" s="239"/>
      <c r="H282" s="241">
        <v>0</v>
      </c>
      <c r="I282" s="241">
        <v>-0.53100000000000003</v>
      </c>
      <c r="J282" s="241">
        <v>-0.53100000000000003</v>
      </c>
      <c r="K282" s="258">
        <v>0</v>
      </c>
      <c r="L282" s="258">
        <v>-4</v>
      </c>
      <c r="M282" s="241">
        <v>-0.17499999999999999</v>
      </c>
      <c r="N282" s="241">
        <v>-0.17399999999999999</v>
      </c>
      <c r="O282" s="241">
        <v>-0.17500000000000004</v>
      </c>
      <c r="P282" s="241">
        <v>-0.17399999999999993</v>
      </c>
      <c r="Q282" s="241">
        <v>-1.4239999999999999</v>
      </c>
      <c r="R282" s="241">
        <v>-0.17399999999999993</v>
      </c>
      <c r="S282" s="241">
        <v>-0.17400000000000038</v>
      </c>
      <c r="T282" s="241">
        <v>-0.17499999999999982</v>
      </c>
      <c r="U282" s="241">
        <v>-0.16500000000000004</v>
      </c>
      <c r="V282" s="241">
        <v>-0.16400000000000015</v>
      </c>
      <c r="W282" s="241">
        <v>-9.5999999999999641E-2</v>
      </c>
      <c r="X282" s="241">
        <v>-9.5000000000000195E-2</v>
      </c>
      <c r="Y282" s="241">
        <v>-3.165</v>
      </c>
      <c r="Z282" s="239"/>
      <c r="AA282" s="241">
        <v>0</v>
      </c>
      <c r="AB282" s="256">
        <v>-3.17</v>
      </c>
      <c r="AC282" s="239"/>
      <c r="AD282" s="241"/>
      <c r="AE282" s="256"/>
    </row>
    <row r="283" spans="1:31" ht="18" hidden="1" customHeight="1" outlineLevel="1" x14ac:dyDescent="0.2">
      <c r="A283" s="30" t="s">
        <v>185</v>
      </c>
      <c r="B283" s="30" t="s">
        <v>22</v>
      </c>
      <c r="C283" s="4">
        <v>0</v>
      </c>
      <c r="D283" s="4">
        <v>0</v>
      </c>
      <c r="F283" s="38" t="s">
        <v>186</v>
      </c>
      <c r="G283" s="34"/>
      <c r="H283" s="66">
        <v>0</v>
      </c>
      <c r="I283" s="66">
        <v>4.8000000000000001E-2</v>
      </c>
      <c r="J283" s="66">
        <v>4.8000000000000001E-2</v>
      </c>
      <c r="K283" s="86">
        <v>0</v>
      </c>
      <c r="L283" s="86">
        <v>0</v>
      </c>
      <c r="M283" s="66">
        <v>0</v>
      </c>
      <c r="N283" s="66">
        <v>0</v>
      </c>
      <c r="O283" s="66">
        <v>0</v>
      </c>
      <c r="P283" s="66">
        <v>0</v>
      </c>
      <c r="Q283" s="66">
        <v>0</v>
      </c>
      <c r="R283" s="66">
        <v>0</v>
      </c>
      <c r="S283" s="66">
        <v>0</v>
      </c>
      <c r="T283" s="66">
        <v>0</v>
      </c>
      <c r="U283" s="66">
        <v>0</v>
      </c>
      <c r="V283" s="66">
        <v>0</v>
      </c>
      <c r="W283" s="66">
        <v>0</v>
      </c>
      <c r="X283" s="66">
        <v>0</v>
      </c>
      <c r="Y283" s="66">
        <v>0</v>
      </c>
      <c r="Z283" s="34"/>
      <c r="AA283" s="66">
        <v>0</v>
      </c>
      <c r="AB283" s="60">
        <v>0</v>
      </c>
      <c r="AC283" s="34"/>
      <c r="AD283" s="66">
        <v>0</v>
      </c>
      <c r="AE283" s="60">
        <v>0</v>
      </c>
    </row>
    <row r="284" spans="1:31" ht="18" hidden="1" customHeight="1" outlineLevel="1" x14ac:dyDescent="0.2">
      <c r="A284" s="30" t="s">
        <v>125</v>
      </c>
      <c r="B284" s="30" t="s">
        <v>22</v>
      </c>
      <c r="C284" s="4">
        <v>0.94</v>
      </c>
      <c r="D284" s="4">
        <v>-1.0714285714285714</v>
      </c>
      <c r="F284" s="38" t="s">
        <v>126</v>
      </c>
      <c r="G284" s="34"/>
      <c r="H284" s="66">
        <v>-3.4249999999999998</v>
      </c>
      <c r="I284" s="66">
        <v>-2.5249999999999999</v>
      </c>
      <c r="J284" s="66">
        <v>-2.5249999999999999</v>
      </c>
      <c r="K284" s="86">
        <v>-1</v>
      </c>
      <c r="L284" s="86">
        <v>0</v>
      </c>
      <c r="M284" s="66">
        <v>-5.6000000000000001E-2</v>
      </c>
      <c r="N284" s="66">
        <v>0</v>
      </c>
      <c r="O284" s="66">
        <v>0</v>
      </c>
      <c r="P284" s="66">
        <v>0</v>
      </c>
      <c r="Q284" s="66">
        <v>0</v>
      </c>
      <c r="R284" s="66">
        <v>0</v>
      </c>
      <c r="S284" s="66">
        <v>0</v>
      </c>
      <c r="T284" s="66">
        <v>0</v>
      </c>
      <c r="U284" s="66">
        <v>0</v>
      </c>
      <c r="V284" s="66">
        <v>0</v>
      </c>
      <c r="W284" s="66">
        <v>0</v>
      </c>
      <c r="X284" s="66">
        <v>0</v>
      </c>
      <c r="Y284" s="66">
        <v>-5.6000000000000001E-2</v>
      </c>
      <c r="Z284" s="34"/>
      <c r="AA284" s="66">
        <v>-1</v>
      </c>
      <c r="AB284" s="60">
        <v>0.94</v>
      </c>
      <c r="AC284" s="34"/>
      <c r="AD284" s="66">
        <v>0</v>
      </c>
      <c r="AE284" s="60">
        <v>-0.06</v>
      </c>
    </row>
    <row r="285" spans="1:31" ht="18" customHeight="1" collapsed="1" x14ac:dyDescent="0.2">
      <c r="A285" s="35"/>
      <c r="B285" s="35"/>
      <c r="C285" s="4">
        <v>-2.2400000000000002</v>
      </c>
      <c r="D285" s="4">
        <v>0.19</v>
      </c>
      <c r="F285" s="106" t="s">
        <v>69</v>
      </c>
      <c r="H285" s="61">
        <v>-3.4249999999999998</v>
      </c>
      <c r="I285" s="61">
        <v>-3.008</v>
      </c>
      <c r="J285" s="61">
        <v>-3.008</v>
      </c>
      <c r="K285" s="86">
        <v>-1</v>
      </c>
      <c r="L285" s="86">
        <v>-4</v>
      </c>
      <c r="M285" s="61">
        <v>-0.23099999999999998</v>
      </c>
      <c r="N285" s="61">
        <v>-0.17399999999999999</v>
      </c>
      <c r="O285" s="61">
        <v>-0.17500000000000004</v>
      </c>
      <c r="P285" s="61">
        <v>-0.17399999999999993</v>
      </c>
      <c r="Q285" s="61">
        <v>-1.4339999999999999</v>
      </c>
      <c r="R285" s="61">
        <v>-0.17399999999999993</v>
      </c>
      <c r="S285" s="61">
        <v>-0.17400000000000038</v>
      </c>
      <c r="T285" s="61">
        <v>-0.17499999999999982</v>
      </c>
      <c r="U285" s="61">
        <v>-0.16500000000000004</v>
      </c>
      <c r="V285" s="61">
        <v>-0.17400000000000015</v>
      </c>
      <c r="W285" s="61">
        <v>-9.5999999999999641E-2</v>
      </c>
      <c r="X285" s="61">
        <v>-9.5000000000000195E-2</v>
      </c>
      <c r="Y285" s="61">
        <v>-3.2410000000000001</v>
      </c>
      <c r="AA285" s="61">
        <v>-1</v>
      </c>
      <c r="AB285" s="60">
        <v>-2.2400000000000002</v>
      </c>
      <c r="AD285" s="61">
        <v>-4</v>
      </c>
      <c r="AE285" s="60">
        <v>0.76</v>
      </c>
    </row>
    <row r="286" spans="1:31" ht="18" customHeight="1" x14ac:dyDescent="0.2">
      <c r="A286" s="30" t="s">
        <v>257</v>
      </c>
      <c r="B286" s="30" t="s">
        <v>22</v>
      </c>
      <c r="C286" s="4">
        <v>-2.5739999999999998</v>
      </c>
      <c r="D286" s="4">
        <v>0.12555555555555553</v>
      </c>
      <c r="F286" s="104" t="s">
        <v>258</v>
      </c>
      <c r="G286" s="36"/>
      <c r="H286" s="65">
        <v>31.015999999999998</v>
      </c>
      <c r="I286" s="65">
        <v>20.843</v>
      </c>
      <c r="J286" s="65">
        <v>20.843</v>
      </c>
      <c r="K286" s="65">
        <v>5</v>
      </c>
      <c r="L286" s="65">
        <v>-9</v>
      </c>
      <c r="M286" s="65">
        <v>-0.187999999999999</v>
      </c>
      <c r="N286" s="65">
        <v>-3.5990000000000011</v>
      </c>
      <c r="O286" s="65">
        <v>-0.10199999999999987</v>
      </c>
      <c r="P286" s="65">
        <v>-0.55900000000000061</v>
      </c>
      <c r="Q286" s="65">
        <v>1.3650000000000002</v>
      </c>
      <c r="R286" s="65">
        <v>-6.0849999999999991</v>
      </c>
      <c r="S286" s="65">
        <v>0</v>
      </c>
      <c r="T286" s="65">
        <v>-6.2000000000000011</v>
      </c>
      <c r="U286" s="65">
        <v>3.2270000000000003</v>
      </c>
      <c r="V286" s="65">
        <v>2.7379999999999995</v>
      </c>
      <c r="W286" s="65">
        <v>-3.4149999999999991</v>
      </c>
      <c r="X286" s="65">
        <v>4.944</v>
      </c>
      <c r="Y286" s="65">
        <v>-7.8739999999999997</v>
      </c>
      <c r="Z286" s="36"/>
      <c r="AA286" s="65">
        <v>5</v>
      </c>
      <c r="AB286" s="60">
        <v>-12.87</v>
      </c>
      <c r="AC286" s="36"/>
      <c r="AD286" s="65">
        <v>-9</v>
      </c>
      <c r="AE286" s="60">
        <v>1.1299999999999999</v>
      </c>
    </row>
    <row r="287" spans="1:31" ht="18" customHeight="1" x14ac:dyDescent="0.2">
      <c r="A287" s="30" t="s">
        <v>256</v>
      </c>
      <c r="B287" s="30" t="s">
        <v>22</v>
      </c>
      <c r="C287" s="4">
        <v>0</v>
      </c>
      <c r="D287" s="4">
        <v>0</v>
      </c>
      <c r="F287" s="104" t="s">
        <v>259</v>
      </c>
      <c r="G287" s="36"/>
      <c r="H287" s="65">
        <v>0</v>
      </c>
      <c r="I287" s="65">
        <v>0</v>
      </c>
      <c r="J287" s="65">
        <v>0</v>
      </c>
      <c r="K287" s="65">
        <v>0</v>
      </c>
      <c r="L287" s="65">
        <v>0</v>
      </c>
      <c r="M287" s="65">
        <v>0</v>
      </c>
      <c r="N287" s="65">
        <v>0</v>
      </c>
      <c r="O287" s="65">
        <v>0</v>
      </c>
      <c r="P287" s="65">
        <v>0</v>
      </c>
      <c r="Q287" s="65">
        <v>0</v>
      </c>
      <c r="R287" s="65">
        <v>0</v>
      </c>
      <c r="S287" s="65">
        <v>0</v>
      </c>
      <c r="T287" s="65">
        <v>0</v>
      </c>
      <c r="U287" s="65">
        <v>0</v>
      </c>
      <c r="V287" s="65">
        <v>0</v>
      </c>
      <c r="W287" s="65">
        <v>0</v>
      </c>
      <c r="X287" s="65">
        <v>0</v>
      </c>
      <c r="Y287" s="65">
        <v>0</v>
      </c>
      <c r="Z287" s="36"/>
      <c r="AA287" s="65">
        <v>0</v>
      </c>
      <c r="AB287" s="60">
        <v>0</v>
      </c>
      <c r="AC287" s="36"/>
      <c r="AD287" s="65">
        <v>0</v>
      </c>
      <c r="AE287" s="60">
        <v>0</v>
      </c>
    </row>
    <row r="288" spans="1:31" ht="18" customHeight="1" x14ac:dyDescent="0.2">
      <c r="A288" s="35"/>
      <c r="B288" s="35"/>
      <c r="C288" s="4">
        <v>-8.9295738804350266E-2</v>
      </c>
      <c r="D288" s="4">
        <v>-1.5561649953594181E-2</v>
      </c>
      <c r="F288" s="95" t="s">
        <v>87</v>
      </c>
      <c r="H288" s="64">
        <v>-100.04199999999999</v>
      </c>
      <c r="I288" s="64">
        <v>-123.13399999999999</v>
      </c>
      <c r="J288" s="64">
        <v>-123.13399999999999</v>
      </c>
      <c r="K288" s="89">
        <v>-133.601</v>
      </c>
      <c r="L288" s="89">
        <v>-143.30100000000002</v>
      </c>
      <c r="M288" s="64">
        <v>-13.835000000000001</v>
      </c>
      <c r="N288" s="64">
        <v>-15.098000000000003</v>
      </c>
      <c r="O288" s="64">
        <v>-12.803000000000003</v>
      </c>
      <c r="P288" s="64">
        <v>-11.116</v>
      </c>
      <c r="Q288" s="64">
        <v>-16.788</v>
      </c>
      <c r="R288" s="64">
        <v>-13.903999999999996</v>
      </c>
      <c r="S288" s="64">
        <v>-9.304000000000002</v>
      </c>
      <c r="T288" s="64">
        <v>-15.274000000000001</v>
      </c>
      <c r="U288" s="64">
        <v>-6.3540000000000001</v>
      </c>
      <c r="V288" s="64">
        <v>-6.6349999999999989</v>
      </c>
      <c r="W288" s="64">
        <v>-12.627000000000002</v>
      </c>
      <c r="X288" s="64">
        <v>-11.796999999999999</v>
      </c>
      <c r="Y288" s="64">
        <v>-145.535</v>
      </c>
      <c r="AA288" s="64">
        <v>-133.601</v>
      </c>
      <c r="AB288" s="60">
        <v>-11.93</v>
      </c>
      <c r="AD288" s="64">
        <v>-143.30100000000002</v>
      </c>
      <c r="AE288" s="60">
        <v>-2.23</v>
      </c>
    </row>
    <row r="289" spans="1:33" ht="12.95" customHeight="1" x14ac:dyDescent="0.2">
      <c r="A289" s="35"/>
      <c r="B289" s="35"/>
      <c r="C289" s="4"/>
      <c r="D289" s="4"/>
      <c r="F289" s="39" t="s">
        <v>223</v>
      </c>
      <c r="H289" s="56">
        <v>1.4799125561354048E-2</v>
      </c>
      <c r="I289" s="56">
        <v>1.7810090977058515E-2</v>
      </c>
      <c r="J289" s="56">
        <v>1.7810090977058515E-2</v>
      </c>
      <c r="K289" s="109">
        <v>2.262779953410116E-2</v>
      </c>
      <c r="L289" s="109">
        <v>2.3209244373498111E-2</v>
      </c>
      <c r="M289" s="56">
        <v>2.5229407988795843E-2</v>
      </c>
      <c r="N289" s="56">
        <v>3.1710426551233836E-2</v>
      </c>
      <c r="O289" s="56">
        <v>2.5806100503302613E-2</v>
      </c>
      <c r="P289" s="56">
        <v>2.1607584036512847E-2</v>
      </c>
      <c r="Q289" s="56">
        <v>3.0260152959052895E-2</v>
      </c>
      <c r="R289" s="56">
        <v>2.5273842372949138E-2</v>
      </c>
      <c r="S289" s="56">
        <v>1.9196051852447885E-2</v>
      </c>
      <c r="T289" s="56">
        <v>3.0048355937471745E-2</v>
      </c>
      <c r="U289" s="56">
        <v>1.2471343780422701E-2</v>
      </c>
      <c r="V289" s="56">
        <v>1.3261406608517675E-2</v>
      </c>
      <c r="W289" s="56">
        <v>2.3641772936376735E-2</v>
      </c>
      <c r="X289" s="56">
        <v>2.1456112909679522E-2</v>
      </c>
      <c r="Y289" s="56">
        <v>2.3372696014428165E-2</v>
      </c>
      <c r="AA289" s="56">
        <v>2.262779953410116E-2</v>
      </c>
      <c r="AB289" s="57"/>
      <c r="AD289" s="56">
        <v>2.3209244373498111E-2</v>
      </c>
      <c r="AE289" s="57"/>
    </row>
    <row r="290" spans="1:33" ht="6.95" customHeight="1" x14ac:dyDescent="0.2">
      <c r="C290" s="4"/>
      <c r="D290" s="4"/>
      <c r="F290" s="96"/>
      <c r="H290" s="16"/>
      <c r="I290" s="16"/>
      <c r="J290" s="16"/>
      <c r="K290" s="85"/>
      <c r="L290" s="85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AA290" s="16"/>
      <c r="AB290" s="20"/>
      <c r="AD290" s="16"/>
      <c r="AE290" s="20"/>
    </row>
    <row r="291" spans="1:33" ht="18" customHeight="1" x14ac:dyDescent="0.2">
      <c r="A291" s="30" t="s">
        <v>19</v>
      </c>
      <c r="B291" s="30" t="s">
        <v>25</v>
      </c>
      <c r="C291" s="4">
        <v>-0.99961479198767333</v>
      </c>
      <c r="D291" s="4">
        <v>5.6363636363636366E-2</v>
      </c>
      <c r="F291" s="104" t="s">
        <v>255</v>
      </c>
      <c r="G291" s="36"/>
      <c r="H291" s="65">
        <v>-10.026999999999999</v>
      </c>
      <c r="I291" s="65">
        <v>-14.314</v>
      </c>
      <c r="J291" s="65">
        <v>-14.314</v>
      </c>
      <c r="K291" s="65">
        <v>0</v>
      </c>
      <c r="L291" s="65">
        <v>-11</v>
      </c>
      <c r="M291" s="65">
        <v>-0.13100000000000001</v>
      </c>
      <c r="N291" s="65">
        <v>-2.2480000000000002</v>
      </c>
      <c r="O291" s="65">
        <v>-1.1329999999999996</v>
      </c>
      <c r="P291" s="65">
        <v>-0.52699999999999969</v>
      </c>
      <c r="Q291" s="65">
        <v>-1.1080000000000005</v>
      </c>
      <c r="R291" s="65">
        <v>0.18400000000000016</v>
      </c>
      <c r="S291" s="65">
        <v>0</v>
      </c>
      <c r="T291" s="65">
        <v>-1.3029999999999999</v>
      </c>
      <c r="U291" s="65">
        <v>-1.633</v>
      </c>
      <c r="V291" s="65">
        <v>-0.55099999999999927</v>
      </c>
      <c r="W291" s="65">
        <v>-0.66300000000000026</v>
      </c>
      <c r="X291" s="65">
        <v>-1.2710000000000008</v>
      </c>
      <c r="Y291" s="65">
        <v>-10.384</v>
      </c>
      <c r="Z291" s="36"/>
      <c r="AA291" s="65">
        <v>0</v>
      </c>
      <c r="AB291" s="60">
        <v>-10.38</v>
      </c>
      <c r="AC291" s="36"/>
      <c r="AD291" s="65">
        <v>-11</v>
      </c>
      <c r="AE291" s="60">
        <v>0.62</v>
      </c>
    </row>
    <row r="292" spans="1:33" ht="12.95" customHeight="1" x14ac:dyDescent="0.2">
      <c r="A292" s="35"/>
      <c r="B292" s="35"/>
      <c r="C292" s="4"/>
      <c r="D292" s="4"/>
      <c r="F292" s="39" t="s">
        <v>223</v>
      </c>
      <c r="H292" s="56">
        <v>1.4832853401940888E-3</v>
      </c>
      <c r="I292" s="56">
        <v>2.0703757065117321E-3</v>
      </c>
      <c r="J292" s="56">
        <v>2.0703757065117321E-3</v>
      </c>
      <c r="K292" s="109">
        <v>0</v>
      </c>
      <c r="L292" s="109">
        <v>1.7815764587021667E-3</v>
      </c>
      <c r="M292" s="56">
        <v>2.3889067195751755E-4</v>
      </c>
      <c r="N292" s="56">
        <v>4.7214888652254376E-3</v>
      </c>
      <c r="O292" s="56">
        <v>2.283707870830418E-3</v>
      </c>
      <c r="P292" s="56">
        <v>1.0243969761822836E-3</v>
      </c>
      <c r="Q292" s="56">
        <v>1.9971556754009188E-3</v>
      </c>
      <c r="R292" s="56">
        <v>-3.3446396696077725E-4</v>
      </c>
      <c r="S292" s="56">
        <v>0</v>
      </c>
      <c r="T292" s="56">
        <v>2.5633761808645855E-3</v>
      </c>
      <c r="U292" s="56">
        <v>3.2051785321734767E-3</v>
      </c>
      <c r="V292" s="56">
        <v>1.1012863664345487E-3</v>
      </c>
      <c r="W292" s="56">
        <v>1.2413475454833118E-3</v>
      </c>
      <c r="X292" s="56">
        <v>2.3116656360263367E-3</v>
      </c>
      <c r="Y292" s="56">
        <v>1.6676543471592542E-3</v>
      </c>
      <c r="AA292" s="56">
        <v>0</v>
      </c>
      <c r="AB292" s="57"/>
      <c r="AD292" s="56">
        <v>1.7815764587021667E-3</v>
      </c>
      <c r="AE292" s="57"/>
    </row>
    <row r="293" spans="1:33" ht="6.95" customHeight="1" x14ac:dyDescent="0.2">
      <c r="C293" s="4"/>
      <c r="D293" s="4"/>
      <c r="F293" s="96"/>
      <c r="H293" s="16"/>
      <c r="I293" s="16"/>
      <c r="J293" s="16"/>
      <c r="K293" s="85"/>
      <c r="L293" s="85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AA293" s="16"/>
      <c r="AB293" s="20"/>
      <c r="AD293" s="16"/>
      <c r="AE293" s="20"/>
    </row>
    <row r="294" spans="1:33" s="40" customFormat="1" ht="18" customHeight="1" x14ac:dyDescent="0.2">
      <c r="A294" s="35"/>
      <c r="B294" s="35"/>
      <c r="C294" s="4">
        <v>0.17084158887751624</v>
      </c>
      <c r="D294" s="4">
        <v>-1.8583339480810344E-2</v>
      </c>
      <c r="E294" s="8"/>
      <c r="F294" s="100" t="s">
        <v>279</v>
      </c>
      <c r="G294" s="8"/>
      <c r="H294" s="62">
        <v>-736.83600000000013</v>
      </c>
      <c r="I294" s="62">
        <v>-776.74200000000008</v>
      </c>
      <c r="J294" s="62">
        <v>-776.74200000000008</v>
      </c>
      <c r="K294" s="108">
        <v>-741.03735999999992</v>
      </c>
      <c r="L294" s="108">
        <v>-603.22849999999994</v>
      </c>
      <c r="M294" s="62">
        <v>-65.566000000000003</v>
      </c>
      <c r="N294" s="62">
        <v>-61.026999999999994</v>
      </c>
      <c r="O294" s="62">
        <v>-53.620000000000005</v>
      </c>
      <c r="P294" s="62">
        <v>-48.623000000000012</v>
      </c>
      <c r="Q294" s="62">
        <v>-52.653999999999982</v>
      </c>
      <c r="R294" s="62">
        <v>-56.781000000000013</v>
      </c>
      <c r="S294" s="62">
        <v>-39.386999999999972</v>
      </c>
      <c r="T294" s="62">
        <v>-42.139000000000003</v>
      </c>
      <c r="U294" s="62">
        <v>-44.110000000000028</v>
      </c>
      <c r="V294" s="62">
        <v>-40.357000000000006</v>
      </c>
      <c r="W294" s="62">
        <v>-56.289999999999964</v>
      </c>
      <c r="X294" s="62">
        <v>-53.883999999999986</v>
      </c>
      <c r="Y294" s="62">
        <v>-614.43799999999999</v>
      </c>
      <c r="Z294" s="8"/>
      <c r="AA294" s="62">
        <v>-741.03735999999992</v>
      </c>
      <c r="AB294" s="60">
        <v>126.6</v>
      </c>
      <c r="AC294" s="8"/>
      <c r="AD294" s="62">
        <v>-603.22849999999994</v>
      </c>
      <c r="AE294" s="60">
        <v>-11.21</v>
      </c>
      <c r="AG294" s="41"/>
    </row>
    <row r="295" spans="1:33" ht="12.95" customHeight="1" x14ac:dyDescent="0.2">
      <c r="A295" s="35"/>
      <c r="B295" s="35"/>
      <c r="C295" s="4"/>
      <c r="D295" s="4"/>
      <c r="F295" s="39" t="s">
        <v>223</v>
      </c>
      <c r="H295" s="56">
        <v>0.1089995050291465</v>
      </c>
      <c r="I295" s="56">
        <v>0.11234789486009054</v>
      </c>
      <c r="J295" s="56">
        <v>0.11234789486009054</v>
      </c>
      <c r="K295" s="109">
        <v>0.12550837815105839</v>
      </c>
      <c r="L295" s="109">
        <v>9.769979043801999E-2</v>
      </c>
      <c r="M295" s="56">
        <v>0.1195656931111954</v>
      </c>
      <c r="N295" s="56">
        <v>0.12817540079097542</v>
      </c>
      <c r="O295" s="56">
        <v>0.10807803709967086</v>
      </c>
      <c r="P295" s="56">
        <v>9.4514713800590539E-2</v>
      </c>
      <c r="Q295" s="56">
        <v>9.4908154271263437E-2</v>
      </c>
      <c r="R295" s="56">
        <v>0.10321303536956457</v>
      </c>
      <c r="S295" s="56">
        <v>8.126342372230913E-2</v>
      </c>
      <c r="T295" s="56">
        <v>8.2899546343401978E-2</v>
      </c>
      <c r="U295" s="56">
        <v>8.6577112709229728E-2</v>
      </c>
      <c r="V295" s="56">
        <v>8.0661731198183567E-2</v>
      </c>
      <c r="W295" s="56">
        <v>0.10539284062632813</v>
      </c>
      <c r="X295" s="56">
        <v>9.8002982794369017E-2</v>
      </c>
      <c r="Y295" s="56">
        <v>9.8677792927565275E-2</v>
      </c>
      <c r="AA295" s="56">
        <v>0.12550837815105839</v>
      </c>
      <c r="AB295" s="57"/>
      <c r="AD295" s="56">
        <v>9.769979043801999E-2</v>
      </c>
      <c r="AE295" s="57"/>
    </row>
    <row r="296" spans="1:33" ht="6.95" customHeight="1" x14ac:dyDescent="0.2">
      <c r="C296" s="4"/>
      <c r="D296" s="4"/>
      <c r="F296" s="96"/>
      <c r="H296" s="16"/>
      <c r="I296" s="16"/>
      <c r="J296" s="16"/>
      <c r="K296" s="85"/>
      <c r="L296" s="85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AA296" s="16"/>
      <c r="AB296" s="20"/>
      <c r="AD296" s="16"/>
      <c r="AE296" s="20"/>
    </row>
    <row r="297" spans="1:33" s="40" customFormat="1" ht="18" customHeight="1" x14ac:dyDescent="0.2">
      <c r="A297" s="35"/>
      <c r="B297" s="35"/>
      <c r="C297" s="4">
        <v>0.12843532803507293</v>
      </c>
      <c r="D297" s="4">
        <v>6.8320400695967134E-2</v>
      </c>
      <c r="E297" s="8"/>
      <c r="F297" s="101" t="s">
        <v>23</v>
      </c>
      <c r="G297" s="8"/>
      <c r="H297" s="77">
        <v>1613.3470000000007</v>
      </c>
      <c r="I297" s="77">
        <v>1860.7919999999995</v>
      </c>
      <c r="J297" s="77">
        <v>1860.7919999999995</v>
      </c>
      <c r="K297" s="114">
        <v>1561.5641200000005</v>
      </c>
      <c r="L297" s="114">
        <v>1649.434120000001</v>
      </c>
      <c r="M297" s="77">
        <v>140.64099999999993</v>
      </c>
      <c r="N297" s="77">
        <v>73.599999999999909</v>
      </c>
      <c r="O297" s="77">
        <v>49.748000000000047</v>
      </c>
      <c r="P297" s="77">
        <v>156.67600000000007</v>
      </c>
      <c r="Q297" s="77">
        <v>207.54199999999997</v>
      </c>
      <c r="R297" s="77">
        <v>159.81899999999985</v>
      </c>
      <c r="S297" s="77">
        <v>186.12500000000034</v>
      </c>
      <c r="T297" s="77">
        <v>192.5849999999995</v>
      </c>
      <c r="U297" s="77">
        <v>150.06099999999981</v>
      </c>
      <c r="V297" s="77">
        <v>112.54600000000019</v>
      </c>
      <c r="W297" s="77">
        <v>143.709</v>
      </c>
      <c r="X297" s="77">
        <v>189.07600000000028</v>
      </c>
      <c r="Y297" s="77">
        <v>1762.1280000000011</v>
      </c>
      <c r="Z297" s="8"/>
      <c r="AA297" s="77">
        <v>1561.5641200000002</v>
      </c>
      <c r="AB297" s="60">
        <v>200.56</v>
      </c>
      <c r="AC297" s="8"/>
      <c r="AD297" s="77">
        <v>1649.434120000001</v>
      </c>
      <c r="AE297" s="60">
        <v>112.69</v>
      </c>
    </row>
    <row r="298" spans="1:33" ht="12.95" customHeight="1" x14ac:dyDescent="0.2">
      <c r="A298" s="35"/>
      <c r="B298" s="35"/>
      <c r="C298" s="4"/>
      <c r="D298" s="4"/>
      <c r="F298" s="39" t="s">
        <v>223</v>
      </c>
      <c r="H298" s="56">
        <v>0.23866101064586753</v>
      </c>
      <c r="I298" s="56">
        <v>0.26914479192897706</v>
      </c>
      <c r="J298" s="56">
        <v>0.26914479192897706</v>
      </c>
      <c r="K298" s="109">
        <v>0.26447975589258388</v>
      </c>
      <c r="L298" s="109">
        <v>0.26714481803382967</v>
      </c>
      <c r="M298" s="56">
        <v>0.25647193125784129</v>
      </c>
      <c r="N298" s="56">
        <v>0.15458255359456929</v>
      </c>
      <c r="O298" s="56">
        <v>0.10027352088091068</v>
      </c>
      <c r="P298" s="56">
        <v>0.30455108280898602</v>
      </c>
      <c r="Q298" s="56">
        <v>0.37409177182676645</v>
      </c>
      <c r="R298" s="56">
        <v>0.29050922138969759</v>
      </c>
      <c r="S298" s="56">
        <v>0.38401388123784053</v>
      </c>
      <c r="T298" s="56">
        <v>0.37887014719248269</v>
      </c>
      <c r="U298" s="56">
        <v>0.29453294287598497</v>
      </c>
      <c r="V298" s="56">
        <v>0.22494623483982412</v>
      </c>
      <c r="W298" s="56">
        <v>0.26906910168003195</v>
      </c>
      <c r="X298" s="56">
        <v>0.34388709032046894</v>
      </c>
      <c r="Y298" s="56">
        <v>0.28299503268981552</v>
      </c>
      <c r="AA298" s="56">
        <v>0.26447975589258382</v>
      </c>
      <c r="AB298" s="57"/>
      <c r="AD298" s="56">
        <v>0.26714481803382967</v>
      </c>
      <c r="AE298" s="57"/>
    </row>
    <row r="299" spans="1:33" s="11" customFormat="1" ht="6.75" customHeight="1" x14ac:dyDescent="0.2">
      <c r="A299" s="8"/>
      <c r="B299" s="8"/>
      <c r="C299" s="8"/>
      <c r="D299" s="8"/>
      <c r="AF299" s="8"/>
      <c r="AG299" s="8"/>
    </row>
    <row r="300" spans="1:33" s="11" customFormat="1" ht="18" customHeight="1" x14ac:dyDescent="0.2">
      <c r="A300" s="276" t="s">
        <v>92</v>
      </c>
      <c r="B300" s="276" t="s">
        <v>17</v>
      </c>
      <c r="C300" s="253"/>
      <c r="D300" s="253"/>
      <c r="F300" s="101" t="s">
        <v>455</v>
      </c>
      <c r="G300" s="253"/>
      <c r="H300" s="77">
        <v>-10.141999999999999</v>
      </c>
      <c r="I300" s="77">
        <v>-10.682</v>
      </c>
      <c r="J300" s="77">
        <v>-10.682</v>
      </c>
      <c r="K300" s="114">
        <v>-8.31</v>
      </c>
      <c r="L300" s="114">
        <v>-8.8659999999999997</v>
      </c>
      <c r="M300" s="77">
        <v>-0.78700000000000003</v>
      </c>
      <c r="N300" s="77">
        <v>-0.83</v>
      </c>
      <c r="O300" s="77">
        <v>-0.89400000000000013</v>
      </c>
      <c r="P300" s="77">
        <v>-0.73199999999999976</v>
      </c>
      <c r="Q300" s="77">
        <v>-0.56600000000000028</v>
      </c>
      <c r="R300" s="77">
        <v>-0.55900000000000016</v>
      </c>
      <c r="S300" s="77">
        <v>-0.56099999999999994</v>
      </c>
      <c r="T300" s="77">
        <v>-0.68299999999999983</v>
      </c>
      <c r="U300" s="77">
        <v>-0.5860000000000003</v>
      </c>
      <c r="V300" s="77">
        <v>-0.51999999999999957</v>
      </c>
      <c r="W300" s="77">
        <v>-0.49600000000000044</v>
      </c>
      <c r="X300" s="77">
        <v>-0.49599999999999955</v>
      </c>
      <c r="Y300" s="77">
        <v>-7.71</v>
      </c>
      <c r="Z300" s="253"/>
      <c r="AA300" s="77">
        <v>-8.31</v>
      </c>
      <c r="AB300" s="256">
        <v>0.6</v>
      </c>
      <c r="AD300" s="77">
        <v>-8.8659999999999997</v>
      </c>
      <c r="AE300" s="256">
        <v>1.1599999999999999</v>
      </c>
      <c r="AF300" s="253"/>
      <c r="AG300" s="253"/>
    </row>
    <row r="301" spans="1:33" s="11" customFormat="1" ht="6.75" customHeight="1" x14ac:dyDescent="0.2">
      <c r="A301" s="253"/>
      <c r="B301" s="253"/>
      <c r="C301" s="253"/>
      <c r="D301" s="253"/>
      <c r="AF301" s="253"/>
      <c r="AG301" s="253"/>
    </row>
    <row r="302" spans="1:33" s="11" customFormat="1" ht="18" customHeight="1" x14ac:dyDescent="0.2">
      <c r="A302" s="276" t="s">
        <v>457</v>
      </c>
      <c r="B302" s="276" t="s">
        <v>17</v>
      </c>
      <c r="C302" s="253"/>
      <c r="D302" s="253"/>
      <c r="F302" s="101" t="s">
        <v>456</v>
      </c>
      <c r="G302" s="253"/>
      <c r="H302" s="77">
        <v>1623.7940000000001</v>
      </c>
      <c r="I302" s="77">
        <v>1871.6310000000001</v>
      </c>
      <c r="J302" s="77">
        <v>1871.6310000000001</v>
      </c>
      <c r="K302" s="114">
        <v>1569.8741199999999</v>
      </c>
      <c r="L302" s="114">
        <v>1658.3001200000001</v>
      </c>
      <c r="M302" s="77">
        <v>141.428</v>
      </c>
      <c r="N302" s="77">
        <v>74.430000000000007</v>
      </c>
      <c r="O302" s="77">
        <v>50.641999999999996</v>
      </c>
      <c r="P302" s="77">
        <v>157.40800000000002</v>
      </c>
      <c r="Q302" s="77">
        <v>208.10799999999995</v>
      </c>
      <c r="R302" s="77">
        <v>160.37800000000004</v>
      </c>
      <c r="S302" s="77">
        <v>186.68600000000004</v>
      </c>
      <c r="T302" s="77">
        <v>193.26799999999992</v>
      </c>
      <c r="U302" s="77">
        <v>150.64699999999993</v>
      </c>
      <c r="V302" s="77">
        <v>113.06600000000003</v>
      </c>
      <c r="W302" s="77">
        <v>144.20500000000015</v>
      </c>
      <c r="X302" s="77">
        <v>189.57199999999989</v>
      </c>
      <c r="Y302" s="77">
        <v>1769.838</v>
      </c>
      <c r="Z302" s="253"/>
      <c r="AA302" s="77">
        <v>1569.8741199999997</v>
      </c>
      <c r="AB302" s="256">
        <v>199.96</v>
      </c>
      <c r="AD302" s="77">
        <v>1658.3001200000001</v>
      </c>
      <c r="AE302" s="256">
        <v>111.54</v>
      </c>
      <c r="AF302" s="253"/>
      <c r="AG302" s="253"/>
    </row>
    <row r="303" spans="1:33" s="11" customFormat="1" x14ac:dyDescent="0.2">
      <c r="A303" s="253"/>
      <c r="B303" s="253"/>
      <c r="C303" s="253"/>
      <c r="D303" s="253"/>
      <c r="AF303" s="253"/>
      <c r="AG303" s="253"/>
    </row>
    <row r="304" spans="1:33" s="11" customFormat="1" x14ac:dyDescent="0.2">
      <c r="A304" s="8"/>
      <c r="B304" s="8"/>
      <c r="C304" s="8"/>
      <c r="D304" s="8"/>
      <c r="AF304" s="8"/>
      <c r="AG304" s="8"/>
    </row>
    <row r="305" spans="1:33" s="11" customFormat="1" x14ac:dyDescent="0.2">
      <c r="A305" s="8"/>
      <c r="B305" s="8"/>
      <c r="C305" s="8"/>
      <c r="D305" s="8"/>
      <c r="AF305" s="8"/>
      <c r="AG305" s="8"/>
    </row>
    <row r="306" spans="1:33" s="11" customFormat="1" x14ac:dyDescent="0.2">
      <c r="A306" s="8"/>
      <c r="B306" s="8"/>
      <c r="C306" s="8"/>
      <c r="D306" s="8"/>
      <c r="AF306" s="8"/>
      <c r="AG306" s="8"/>
    </row>
    <row r="307" spans="1:33" s="11" customFormat="1" x14ac:dyDescent="0.2">
      <c r="A307" s="8"/>
      <c r="B307" s="8"/>
      <c r="C307" s="8"/>
      <c r="D307" s="8"/>
      <c r="AF307" s="8"/>
      <c r="AG307" s="8"/>
    </row>
    <row r="308" spans="1:33" s="11" customFormat="1" x14ac:dyDescent="0.2">
      <c r="A308" s="8"/>
      <c r="B308" s="8"/>
      <c r="C308" s="8"/>
      <c r="D308" s="8"/>
      <c r="AF308" s="8"/>
      <c r="AG308" s="8"/>
    </row>
    <row r="309" spans="1:33" s="11" customFormat="1" x14ac:dyDescent="0.2">
      <c r="A309" s="8"/>
      <c r="B309" s="8"/>
      <c r="C309" s="8"/>
      <c r="D309" s="8"/>
      <c r="AF309" s="8"/>
      <c r="AG309" s="8"/>
    </row>
    <row r="310" spans="1:33" s="11" customFormat="1" x14ac:dyDescent="0.2">
      <c r="A310" s="8"/>
      <c r="B310" s="8"/>
      <c r="C310" s="8"/>
      <c r="D310" s="8"/>
      <c r="AF310" s="8"/>
      <c r="AG310" s="8"/>
    </row>
    <row r="311" spans="1:33" s="11" customFormat="1" x14ac:dyDescent="0.2">
      <c r="A311" s="8"/>
      <c r="B311" s="8"/>
      <c r="C311" s="8"/>
      <c r="D311" s="8"/>
      <c r="AF311" s="8"/>
      <c r="AG311" s="8"/>
    </row>
    <row r="312" spans="1:33" s="11" customFormat="1" x14ac:dyDescent="0.2">
      <c r="A312" s="8"/>
      <c r="B312" s="8"/>
      <c r="C312" s="8"/>
      <c r="D312" s="8"/>
      <c r="AF312" s="8"/>
      <c r="AG312" s="8"/>
    </row>
    <row r="313" spans="1:33" s="11" customFormat="1" x14ac:dyDescent="0.2">
      <c r="A313" s="8"/>
      <c r="B313" s="8"/>
      <c r="C313" s="8"/>
      <c r="D313" s="8"/>
      <c r="AF313" s="8"/>
      <c r="AG313" s="8"/>
    </row>
    <row r="314" spans="1:33" s="11" customFormat="1" x14ac:dyDescent="0.2">
      <c r="A314" s="8"/>
      <c r="B314" s="8"/>
      <c r="C314" s="8"/>
      <c r="D314" s="8"/>
      <c r="AF314" s="8"/>
      <c r="AG314" s="8"/>
    </row>
    <row r="315" spans="1:33" s="11" customFormat="1" x14ac:dyDescent="0.2">
      <c r="A315" s="8"/>
      <c r="B315" s="8"/>
      <c r="C315" s="8"/>
      <c r="D315" s="8"/>
      <c r="AF315" s="8"/>
      <c r="AG315" s="8"/>
    </row>
    <row r="316" spans="1:33" s="11" customFormat="1" x14ac:dyDescent="0.2">
      <c r="A316" s="8"/>
      <c r="B316" s="8"/>
      <c r="C316" s="8"/>
      <c r="D316" s="8"/>
      <c r="AF316" s="8"/>
      <c r="AG316" s="8"/>
    </row>
    <row r="317" spans="1:33" s="11" customFormat="1" x14ac:dyDescent="0.2">
      <c r="A317" s="8"/>
      <c r="B317" s="8"/>
      <c r="C317" s="8"/>
      <c r="D317" s="8"/>
      <c r="AF317" s="8"/>
      <c r="AG317" s="8"/>
    </row>
    <row r="318" spans="1:33" s="11" customFormat="1" x14ac:dyDescent="0.2">
      <c r="A318" s="8"/>
      <c r="B318" s="8"/>
      <c r="C318" s="8"/>
      <c r="D318" s="8"/>
      <c r="AF318" s="8"/>
      <c r="AG318" s="8"/>
    </row>
    <row r="319" spans="1:33" s="11" customFormat="1" x14ac:dyDescent="0.2">
      <c r="A319" s="8"/>
      <c r="B319" s="8"/>
      <c r="C319" s="8"/>
      <c r="D319" s="8"/>
      <c r="AF319" s="8"/>
      <c r="AG319" s="8"/>
    </row>
    <row r="320" spans="1:33" s="11" customFormat="1" x14ac:dyDescent="0.2">
      <c r="A320" s="8"/>
      <c r="B320" s="8"/>
      <c r="C320" s="8"/>
      <c r="D320" s="8"/>
      <c r="AF320" s="8"/>
      <c r="AG320" s="8"/>
    </row>
    <row r="321" spans="1:33" s="11" customFormat="1" x14ac:dyDescent="0.2">
      <c r="A321" s="8"/>
      <c r="B321" s="8"/>
      <c r="C321" s="8"/>
      <c r="D321" s="8"/>
      <c r="AF321" s="8"/>
      <c r="AG321" s="8"/>
    </row>
    <row r="322" spans="1:33" s="11" customFormat="1" x14ac:dyDescent="0.2">
      <c r="A322" s="8"/>
      <c r="B322" s="8"/>
      <c r="C322" s="8"/>
      <c r="D322" s="8"/>
      <c r="AF322" s="8"/>
      <c r="AG322" s="8"/>
    </row>
    <row r="323" spans="1:33" s="11" customFormat="1" x14ac:dyDescent="0.2">
      <c r="A323" s="8"/>
      <c r="B323" s="8"/>
      <c r="C323" s="8"/>
      <c r="D323" s="8"/>
      <c r="AF323" s="8"/>
      <c r="AG323" s="8"/>
    </row>
    <row r="324" spans="1:33" s="11" customFormat="1" x14ac:dyDescent="0.2">
      <c r="A324" s="8"/>
      <c r="B324" s="8"/>
      <c r="C324" s="8"/>
      <c r="D324" s="8"/>
      <c r="AF324" s="8"/>
      <c r="AG324" s="8"/>
    </row>
    <row r="325" spans="1:33" s="11" customFormat="1" x14ac:dyDescent="0.2">
      <c r="A325" s="8"/>
      <c r="B325" s="8"/>
      <c r="C325" s="8"/>
      <c r="D325" s="8"/>
      <c r="AF325" s="8"/>
      <c r="AG325" s="8"/>
    </row>
    <row r="326" spans="1:33" s="11" customFormat="1" x14ac:dyDescent="0.2">
      <c r="A326" s="8"/>
      <c r="B326" s="8"/>
      <c r="C326" s="8"/>
      <c r="D326" s="8"/>
      <c r="AF326" s="8"/>
      <c r="AG326" s="8"/>
    </row>
    <row r="327" spans="1:33" s="11" customFormat="1" x14ac:dyDescent="0.2">
      <c r="A327" s="8"/>
      <c r="B327" s="8"/>
      <c r="C327" s="8"/>
      <c r="D327" s="8"/>
      <c r="AF327" s="8"/>
      <c r="AG327" s="8"/>
    </row>
    <row r="328" spans="1:33" s="11" customFormat="1" x14ac:dyDescent="0.2">
      <c r="A328" s="8"/>
      <c r="B328" s="8"/>
      <c r="C328" s="8"/>
      <c r="D328" s="8"/>
      <c r="AF328" s="8"/>
      <c r="AG328" s="8"/>
    </row>
    <row r="329" spans="1:33" s="11" customFormat="1" x14ac:dyDescent="0.2">
      <c r="A329" s="8"/>
      <c r="B329" s="8"/>
      <c r="C329" s="8"/>
      <c r="D329" s="8"/>
      <c r="AF329" s="8"/>
      <c r="AG329" s="8"/>
    </row>
    <row r="330" spans="1:33" s="11" customFormat="1" x14ac:dyDescent="0.2">
      <c r="A330" s="8"/>
      <c r="B330" s="8"/>
      <c r="C330" s="8"/>
      <c r="D330" s="8"/>
      <c r="AF330" s="8"/>
      <c r="AG330" s="8"/>
    </row>
    <row r="331" spans="1:33" s="11" customFormat="1" x14ac:dyDescent="0.2">
      <c r="A331" s="8"/>
      <c r="B331" s="8"/>
      <c r="C331" s="8"/>
      <c r="D331" s="8"/>
      <c r="AF331" s="8"/>
      <c r="AG331" s="8"/>
    </row>
    <row r="332" spans="1:33" s="11" customFormat="1" x14ac:dyDescent="0.2">
      <c r="A332" s="8"/>
      <c r="B332" s="8"/>
      <c r="C332" s="8"/>
      <c r="D332" s="8"/>
      <c r="AF332" s="8"/>
      <c r="AG332" s="8"/>
    </row>
    <row r="333" spans="1:33" s="11" customFormat="1" x14ac:dyDescent="0.2">
      <c r="A333" s="8"/>
      <c r="B333" s="8"/>
      <c r="C333" s="8"/>
      <c r="D333" s="8"/>
      <c r="AF333" s="8"/>
      <c r="AG333" s="8"/>
    </row>
    <row r="334" spans="1:33" s="11" customFormat="1" x14ac:dyDescent="0.2">
      <c r="A334" s="8"/>
      <c r="B334" s="8"/>
      <c r="C334" s="8"/>
      <c r="D334" s="8"/>
      <c r="AF334" s="8"/>
      <c r="AG334" s="8"/>
    </row>
    <row r="335" spans="1:33" s="11" customFormat="1" x14ac:dyDescent="0.2">
      <c r="A335" s="8"/>
      <c r="B335" s="8"/>
      <c r="C335" s="8"/>
      <c r="D335" s="8"/>
      <c r="AF335" s="8"/>
      <c r="AG335" s="8"/>
    </row>
    <row r="336" spans="1:33" s="11" customFormat="1" x14ac:dyDescent="0.2">
      <c r="A336" s="8"/>
      <c r="B336" s="8"/>
      <c r="C336" s="8"/>
      <c r="D336" s="8"/>
      <c r="AF336" s="8"/>
      <c r="AG336" s="8"/>
    </row>
    <row r="337" spans="1:33" s="11" customFormat="1" x14ac:dyDescent="0.2">
      <c r="A337" s="8"/>
      <c r="B337" s="8"/>
      <c r="C337" s="8"/>
      <c r="D337" s="8"/>
      <c r="AF337" s="8"/>
      <c r="AG337" s="8"/>
    </row>
    <row r="338" spans="1:33" s="11" customFormat="1" x14ac:dyDescent="0.2">
      <c r="A338" s="8"/>
      <c r="B338" s="8"/>
      <c r="C338" s="8"/>
      <c r="D338" s="8"/>
      <c r="AF338" s="8"/>
      <c r="AG338" s="8"/>
    </row>
    <row r="339" spans="1:33" s="11" customFormat="1" x14ac:dyDescent="0.2">
      <c r="A339" s="8"/>
      <c r="B339" s="8"/>
      <c r="C339" s="8"/>
      <c r="D339" s="8"/>
      <c r="AF339" s="8"/>
      <c r="AG339" s="8"/>
    </row>
    <row r="340" spans="1:33" s="11" customFormat="1" x14ac:dyDescent="0.2">
      <c r="A340" s="8"/>
      <c r="B340" s="8"/>
      <c r="C340" s="8"/>
      <c r="D340" s="8"/>
      <c r="AF340" s="8"/>
      <c r="AG340" s="8"/>
    </row>
    <row r="341" spans="1:33" s="11" customFormat="1" x14ac:dyDescent="0.2">
      <c r="A341" s="8"/>
      <c r="B341" s="8"/>
      <c r="C341" s="8"/>
      <c r="D341" s="8"/>
      <c r="AF341" s="8"/>
      <c r="AG341" s="8"/>
    </row>
    <row r="342" spans="1:33" s="11" customFormat="1" x14ac:dyDescent="0.2">
      <c r="A342" s="8"/>
      <c r="B342" s="8"/>
      <c r="C342" s="8"/>
      <c r="D342" s="8"/>
      <c r="AF342" s="8"/>
      <c r="AG342" s="8"/>
    </row>
    <row r="343" spans="1:33" s="11" customFormat="1" x14ac:dyDescent="0.2">
      <c r="A343" s="8"/>
      <c r="B343" s="8"/>
      <c r="C343" s="8"/>
      <c r="D343" s="8"/>
      <c r="AF343" s="8"/>
      <c r="AG343" s="8"/>
    </row>
    <row r="344" spans="1:33" s="11" customFormat="1" x14ac:dyDescent="0.2">
      <c r="A344" s="8"/>
      <c r="B344" s="8"/>
      <c r="C344" s="8"/>
      <c r="D344" s="8"/>
      <c r="AF344" s="8"/>
      <c r="AG344" s="8"/>
    </row>
    <row r="345" spans="1:33" s="11" customFormat="1" x14ac:dyDescent="0.2">
      <c r="A345" s="8"/>
      <c r="B345" s="8"/>
      <c r="C345" s="8"/>
      <c r="D345" s="8"/>
      <c r="AF345" s="8"/>
      <c r="AG345" s="8"/>
    </row>
    <row r="346" spans="1:33" s="11" customFormat="1" x14ac:dyDescent="0.2">
      <c r="A346" s="8"/>
      <c r="B346" s="8"/>
      <c r="C346" s="8"/>
      <c r="D346" s="8"/>
      <c r="AF346" s="8"/>
      <c r="AG346" s="8"/>
    </row>
    <row r="347" spans="1:33" s="11" customFormat="1" x14ac:dyDescent="0.2">
      <c r="A347" s="8"/>
      <c r="B347" s="8"/>
      <c r="C347" s="8"/>
      <c r="D347" s="8"/>
      <c r="AF347" s="8"/>
      <c r="AG347" s="8"/>
    </row>
    <row r="350" spans="1:33" ht="18" customHeight="1" x14ac:dyDescent="0.2">
      <c r="A350" s="30" t="s">
        <v>287</v>
      </c>
      <c r="B350" s="30" t="s">
        <v>17</v>
      </c>
      <c r="C350" s="4">
        <v>0</v>
      </c>
      <c r="D350" s="4">
        <v>0</v>
      </c>
      <c r="F350" s="106" t="s">
        <v>288</v>
      </c>
      <c r="H350" s="61">
        <v>0</v>
      </c>
      <c r="I350" s="61">
        <v>0</v>
      </c>
      <c r="J350" s="61">
        <v>0</v>
      </c>
      <c r="K350" s="86">
        <v>0</v>
      </c>
      <c r="L350" s="86">
        <v>0</v>
      </c>
      <c r="M350" s="61">
        <v>0</v>
      </c>
      <c r="N350" s="61">
        <v>0</v>
      </c>
      <c r="O350" s="61">
        <v>0</v>
      </c>
      <c r="P350" s="61">
        <v>0</v>
      </c>
      <c r="Q350" s="61">
        <v>0</v>
      </c>
      <c r="R350" s="61">
        <v>0</v>
      </c>
      <c r="S350" s="61">
        <v>0</v>
      </c>
      <c r="T350" s="61">
        <v>0</v>
      </c>
      <c r="U350" s="61">
        <v>0</v>
      </c>
      <c r="V350" s="61">
        <v>0</v>
      </c>
      <c r="W350" s="61">
        <v>0</v>
      </c>
      <c r="X350" s="61">
        <v>0</v>
      </c>
      <c r="Y350" s="61">
        <v>0</v>
      </c>
      <c r="AA350" s="61">
        <v>0</v>
      </c>
      <c r="AB350" s="20"/>
      <c r="AD350" s="61">
        <v>0</v>
      </c>
      <c r="AE350" s="20"/>
    </row>
    <row r="351" spans="1:33" ht="18" hidden="1" customHeight="1" outlineLevel="1" x14ac:dyDescent="0.2">
      <c r="A351" s="30" t="s">
        <v>291</v>
      </c>
      <c r="B351" s="30" t="s">
        <v>17</v>
      </c>
      <c r="C351" s="4">
        <v>0</v>
      </c>
      <c r="D351" s="4">
        <v>0</v>
      </c>
      <c r="F351" s="106" t="s">
        <v>290</v>
      </c>
      <c r="H351" s="61">
        <v>802.18899999999996</v>
      </c>
      <c r="I351" s="61">
        <v>856.69799999999998</v>
      </c>
      <c r="J351" s="61">
        <v>856.69799999999998</v>
      </c>
      <c r="K351" s="86">
        <v>754.899</v>
      </c>
      <c r="L351" s="86">
        <v>830.95699999999999</v>
      </c>
      <c r="M351" s="61">
        <v>64.744</v>
      </c>
      <c r="N351" s="61">
        <v>146.60400000000001</v>
      </c>
      <c r="O351" s="61">
        <v>237.999</v>
      </c>
      <c r="P351" s="61">
        <v>303.113</v>
      </c>
      <c r="Q351" s="61">
        <v>372.28699999999998</v>
      </c>
      <c r="R351" s="61">
        <v>442.67</v>
      </c>
      <c r="S351" s="61">
        <v>492.54399999999998</v>
      </c>
      <c r="T351" s="61">
        <v>530.904</v>
      </c>
      <c r="U351" s="61">
        <v>594.57399999999996</v>
      </c>
      <c r="V351" s="61">
        <v>678.21199999999999</v>
      </c>
      <c r="W351" s="61">
        <v>758.76400000000001</v>
      </c>
      <c r="X351" s="61">
        <v>816.13300000000004</v>
      </c>
      <c r="Y351" s="61">
        <v>816.13300000000004</v>
      </c>
      <c r="AA351" s="61">
        <v>754.899</v>
      </c>
      <c r="AB351" s="20"/>
      <c r="AD351" s="61">
        <v>830.95699999999999</v>
      </c>
      <c r="AE351" s="20"/>
    </row>
    <row r="352" spans="1:33" ht="18" customHeight="1" collapsed="1" x14ac:dyDescent="0.2">
      <c r="A352" s="30" t="s">
        <v>287</v>
      </c>
      <c r="B352" s="30" t="s">
        <v>17</v>
      </c>
      <c r="C352" s="4">
        <v>0</v>
      </c>
      <c r="D352" s="4">
        <v>0</v>
      </c>
      <c r="F352" s="107" t="s">
        <v>289</v>
      </c>
      <c r="H352" s="78">
        <v>0</v>
      </c>
      <c r="I352" s="78">
        <v>0</v>
      </c>
      <c r="J352" s="78">
        <v>0</v>
      </c>
      <c r="K352" s="87">
        <v>0</v>
      </c>
      <c r="L352" s="87">
        <v>0</v>
      </c>
      <c r="M352" s="78">
        <v>0</v>
      </c>
      <c r="N352" s="78">
        <v>0</v>
      </c>
      <c r="O352" s="78">
        <v>0</v>
      </c>
      <c r="P352" s="78">
        <v>0</v>
      </c>
      <c r="Q352" s="78">
        <v>0</v>
      </c>
      <c r="R352" s="78">
        <v>0</v>
      </c>
      <c r="S352" s="78">
        <v>0</v>
      </c>
      <c r="T352" s="78">
        <v>0</v>
      </c>
      <c r="U352" s="78">
        <v>0</v>
      </c>
      <c r="V352" s="78">
        <v>0</v>
      </c>
      <c r="W352" s="78">
        <v>0</v>
      </c>
      <c r="X352" s="78">
        <v>0</v>
      </c>
      <c r="Y352" s="78">
        <v>0</v>
      </c>
      <c r="AA352" s="78">
        <v>0</v>
      </c>
      <c r="AB352" s="20"/>
      <c r="AD352" s="78">
        <v>0</v>
      </c>
      <c r="AE352" s="20"/>
    </row>
    <row r="353" spans="1:31" ht="15" x14ac:dyDescent="0.2">
      <c r="A353" s="4"/>
      <c r="B353" s="4"/>
      <c r="C353" s="4"/>
      <c r="D353" s="4"/>
      <c r="F353" s="96"/>
      <c r="H353" s="16"/>
      <c r="I353" s="16"/>
      <c r="J353" s="16"/>
      <c r="K353" s="85"/>
      <c r="L353" s="85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AA353" s="16"/>
      <c r="AB353" s="20"/>
      <c r="AD353" s="16"/>
      <c r="AE353" s="20"/>
    </row>
    <row r="354" spans="1:31" ht="18" customHeight="1" x14ac:dyDescent="0.2">
      <c r="A354" s="30" t="s">
        <v>293</v>
      </c>
      <c r="B354" s="30" t="s">
        <v>17</v>
      </c>
      <c r="C354" s="4">
        <v>0</v>
      </c>
      <c r="D354" s="4">
        <v>0</v>
      </c>
      <c r="F354" s="106" t="s">
        <v>357</v>
      </c>
      <c r="H354" s="61">
        <v>0</v>
      </c>
      <c r="I354" s="61">
        <v>0</v>
      </c>
      <c r="J354" s="61">
        <v>0</v>
      </c>
      <c r="K354" s="88"/>
      <c r="L354" s="88"/>
      <c r="M354" s="61">
        <v>0</v>
      </c>
      <c r="N354" s="61">
        <v>0</v>
      </c>
      <c r="O354" s="61">
        <v>0</v>
      </c>
      <c r="P354" s="61">
        <v>0</v>
      </c>
      <c r="Q354" s="61">
        <v>0</v>
      </c>
      <c r="R354" s="61">
        <v>0</v>
      </c>
      <c r="S354" s="61">
        <v>0</v>
      </c>
      <c r="T354" s="61">
        <v>0</v>
      </c>
      <c r="U354" s="61">
        <v>0</v>
      </c>
      <c r="V354" s="61">
        <v>0</v>
      </c>
      <c r="W354" s="61">
        <v>0</v>
      </c>
      <c r="X354" s="61">
        <v>0</v>
      </c>
      <c r="Y354" s="61">
        <v>0</v>
      </c>
      <c r="AA354" s="16"/>
      <c r="AB354" s="20"/>
      <c r="AD354" s="16"/>
      <c r="AE354" s="20"/>
    </row>
    <row r="355" spans="1:31" ht="18" customHeight="1" x14ac:dyDescent="0.2">
      <c r="A355" s="30" t="s">
        <v>294</v>
      </c>
      <c r="B355" s="30" t="s">
        <v>17</v>
      </c>
      <c r="C355" s="4">
        <v>0</v>
      </c>
      <c r="D355" s="4">
        <v>0</v>
      </c>
      <c r="F355" s="106" t="s">
        <v>358</v>
      </c>
      <c r="H355" s="61">
        <v>0</v>
      </c>
      <c r="I355" s="61">
        <v>0</v>
      </c>
      <c r="J355" s="61">
        <v>0</v>
      </c>
      <c r="K355" s="88"/>
      <c r="L355" s="88"/>
      <c r="M355" s="61">
        <v>0</v>
      </c>
      <c r="N355" s="61">
        <v>0</v>
      </c>
      <c r="O355" s="61">
        <v>0</v>
      </c>
      <c r="P355" s="61">
        <v>0</v>
      </c>
      <c r="Q355" s="61">
        <v>0</v>
      </c>
      <c r="R355" s="61">
        <v>0</v>
      </c>
      <c r="S355" s="61">
        <v>0</v>
      </c>
      <c r="T355" s="61">
        <v>0</v>
      </c>
      <c r="U355" s="61">
        <v>0</v>
      </c>
      <c r="V355" s="61">
        <v>0</v>
      </c>
      <c r="W355" s="61">
        <v>0</v>
      </c>
      <c r="X355" s="61">
        <v>0</v>
      </c>
      <c r="Y355" s="61">
        <v>0</v>
      </c>
      <c r="AA355" s="16"/>
      <c r="AB355" s="20"/>
      <c r="AD355" s="16"/>
      <c r="AE355" s="20"/>
    </row>
    <row r="356" spans="1:31" ht="18" customHeight="1" x14ac:dyDescent="0.2">
      <c r="A356" s="30" t="s">
        <v>295</v>
      </c>
      <c r="B356" s="30" t="s">
        <v>17</v>
      </c>
      <c r="C356" s="4">
        <v>0</v>
      </c>
      <c r="D356" s="4">
        <v>0</v>
      </c>
      <c r="F356" s="106" t="s">
        <v>359</v>
      </c>
      <c r="H356" s="61">
        <v>0</v>
      </c>
      <c r="I356" s="61">
        <v>0</v>
      </c>
      <c r="J356" s="61">
        <v>0</v>
      </c>
      <c r="K356" s="88"/>
      <c r="L356" s="88"/>
      <c r="M356" s="61">
        <v>0</v>
      </c>
      <c r="N356" s="61">
        <v>0</v>
      </c>
      <c r="O356" s="61">
        <v>0</v>
      </c>
      <c r="P356" s="61">
        <v>0</v>
      </c>
      <c r="Q356" s="61">
        <v>0</v>
      </c>
      <c r="R356" s="61">
        <v>0</v>
      </c>
      <c r="S356" s="61">
        <v>0</v>
      </c>
      <c r="T356" s="61">
        <v>0</v>
      </c>
      <c r="U356" s="61">
        <v>0</v>
      </c>
      <c r="V356" s="61">
        <v>0</v>
      </c>
      <c r="W356" s="61">
        <v>0</v>
      </c>
      <c r="X356" s="61">
        <v>0</v>
      </c>
      <c r="Y356" s="61">
        <v>0</v>
      </c>
      <c r="AA356" s="16"/>
      <c r="AB356" s="20"/>
      <c r="AD356" s="16"/>
      <c r="AE356" s="20"/>
    </row>
    <row r="357" spans="1:31" ht="18" customHeight="1" x14ac:dyDescent="0.2">
      <c r="A357" s="30" t="s">
        <v>296</v>
      </c>
      <c r="B357" s="30" t="s">
        <v>17</v>
      </c>
      <c r="C357" s="4">
        <v>0</v>
      </c>
      <c r="D357" s="4">
        <v>0</v>
      </c>
      <c r="F357" s="106" t="s">
        <v>360</v>
      </c>
      <c r="H357" s="61">
        <v>0</v>
      </c>
      <c r="I357" s="61">
        <v>0</v>
      </c>
      <c r="J357" s="61">
        <v>0</v>
      </c>
      <c r="K357" s="88"/>
      <c r="L357" s="88"/>
      <c r="M357" s="61">
        <v>0</v>
      </c>
      <c r="N357" s="61">
        <v>0</v>
      </c>
      <c r="O357" s="61">
        <v>0</v>
      </c>
      <c r="P357" s="61">
        <v>0</v>
      </c>
      <c r="Q357" s="61">
        <v>0</v>
      </c>
      <c r="R357" s="61">
        <v>0</v>
      </c>
      <c r="S357" s="61">
        <v>0</v>
      </c>
      <c r="T357" s="61">
        <v>0</v>
      </c>
      <c r="U357" s="61">
        <v>0</v>
      </c>
      <c r="V357" s="61">
        <v>0</v>
      </c>
      <c r="W357" s="61">
        <v>0</v>
      </c>
      <c r="X357" s="61">
        <v>0</v>
      </c>
      <c r="Y357" s="61">
        <v>0</v>
      </c>
      <c r="AA357" s="16"/>
      <c r="AB357" s="20"/>
      <c r="AD357" s="16"/>
      <c r="AE357" s="20"/>
    </row>
    <row r="358" spans="1:31" ht="18" customHeight="1" x14ac:dyDescent="0.2">
      <c r="A358" s="30" t="s">
        <v>297</v>
      </c>
      <c r="B358" s="30" t="s">
        <v>17</v>
      </c>
      <c r="C358" s="4">
        <v>0</v>
      </c>
      <c r="D358" s="4">
        <v>0</v>
      </c>
      <c r="F358" s="106" t="s">
        <v>361</v>
      </c>
      <c r="H358" s="61">
        <v>0</v>
      </c>
      <c r="I358" s="61">
        <v>0</v>
      </c>
      <c r="J358" s="61">
        <v>0</v>
      </c>
      <c r="K358" s="88"/>
      <c r="L358" s="88"/>
      <c r="M358" s="61">
        <v>0</v>
      </c>
      <c r="N358" s="61">
        <v>0</v>
      </c>
      <c r="O358" s="61">
        <v>0</v>
      </c>
      <c r="P358" s="61">
        <v>0</v>
      </c>
      <c r="Q358" s="61">
        <v>0</v>
      </c>
      <c r="R358" s="61">
        <v>0</v>
      </c>
      <c r="S358" s="61">
        <v>0</v>
      </c>
      <c r="T358" s="61">
        <v>0</v>
      </c>
      <c r="U358" s="61">
        <v>0</v>
      </c>
      <c r="V358" s="61">
        <v>0</v>
      </c>
      <c r="W358" s="61">
        <v>0</v>
      </c>
      <c r="X358" s="61">
        <v>0</v>
      </c>
      <c r="Y358" s="61">
        <v>0</v>
      </c>
      <c r="AA358" s="16"/>
      <c r="AB358" s="20"/>
      <c r="AD358" s="16"/>
      <c r="AE358" s="20"/>
    </row>
    <row r="359" spans="1:31" ht="18" customHeight="1" collapsed="1" x14ac:dyDescent="0.2">
      <c r="A359" s="30" t="s">
        <v>292</v>
      </c>
      <c r="B359" s="30" t="s">
        <v>17</v>
      </c>
      <c r="C359" s="4">
        <v>0</v>
      </c>
      <c r="D359" s="4">
        <v>0</v>
      </c>
      <c r="F359" s="107" t="s">
        <v>362</v>
      </c>
      <c r="H359" s="79">
        <v>0</v>
      </c>
      <c r="I359" s="79">
        <v>0</v>
      </c>
      <c r="J359" s="79">
        <v>0</v>
      </c>
      <c r="K359" s="89"/>
      <c r="L359" s="89"/>
      <c r="M359" s="79">
        <v>0</v>
      </c>
      <c r="N359" s="79">
        <v>0</v>
      </c>
      <c r="O359" s="79">
        <v>0</v>
      </c>
      <c r="P359" s="79">
        <v>0</v>
      </c>
      <c r="Q359" s="79">
        <v>0</v>
      </c>
      <c r="R359" s="79">
        <v>0</v>
      </c>
      <c r="S359" s="79">
        <v>0</v>
      </c>
      <c r="T359" s="79">
        <v>0</v>
      </c>
      <c r="U359" s="79">
        <v>0</v>
      </c>
      <c r="V359" s="79">
        <v>0</v>
      </c>
      <c r="W359" s="79">
        <v>0</v>
      </c>
      <c r="X359" s="79">
        <v>0</v>
      </c>
      <c r="Y359" s="79">
        <v>0</v>
      </c>
      <c r="AA359" s="16"/>
      <c r="AB359" s="20"/>
      <c r="AD359" s="16"/>
      <c r="AE359" s="20"/>
    </row>
    <row r="360" spans="1:31" ht="15" x14ac:dyDescent="0.2">
      <c r="A360" s="4"/>
      <c r="B360" s="4"/>
      <c r="C360" s="4"/>
      <c r="D360" s="4"/>
      <c r="F360" s="96"/>
      <c r="H360" s="16"/>
      <c r="I360" s="16"/>
      <c r="J360" s="16"/>
      <c r="K360" s="85"/>
      <c r="L360" s="85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AA360" s="16"/>
      <c r="AB360" s="20"/>
      <c r="AD360" s="16"/>
      <c r="AE360" s="20"/>
    </row>
    <row r="361" spans="1:31" ht="18" hidden="1" customHeight="1" outlineLevel="1" x14ac:dyDescent="0.2">
      <c r="A361" s="30" t="s">
        <v>112</v>
      </c>
      <c r="B361" s="30" t="s">
        <v>17</v>
      </c>
      <c r="C361" s="4">
        <v>0</v>
      </c>
      <c r="D361" s="4">
        <v>0</v>
      </c>
      <c r="F361" s="50" t="s">
        <v>113</v>
      </c>
      <c r="H361" s="60">
        <v>0</v>
      </c>
      <c r="I361" s="60">
        <v>0</v>
      </c>
      <c r="J361" s="60">
        <v>0</v>
      </c>
      <c r="K361" s="90">
        <v>0</v>
      </c>
      <c r="L361" s="90">
        <v>0</v>
      </c>
      <c r="M361" s="60">
        <v>0</v>
      </c>
      <c r="N361" s="60">
        <v>0</v>
      </c>
      <c r="O361" s="60">
        <v>0</v>
      </c>
      <c r="P361" s="60">
        <v>0</v>
      </c>
      <c r="Q361" s="60">
        <v>0</v>
      </c>
      <c r="R361" s="60">
        <v>0</v>
      </c>
      <c r="S361" s="60">
        <v>0</v>
      </c>
      <c r="T361" s="60">
        <v>0</v>
      </c>
      <c r="U361" s="60">
        <v>0</v>
      </c>
      <c r="V361" s="60">
        <v>0</v>
      </c>
      <c r="W361" s="60">
        <v>0</v>
      </c>
      <c r="X361" s="60">
        <v>0</v>
      </c>
      <c r="Y361" s="60">
        <v>0</v>
      </c>
      <c r="AA361" s="60">
        <v>0</v>
      </c>
      <c r="AB361" s="60">
        <v>0</v>
      </c>
      <c r="AD361" s="60">
        <v>0</v>
      </c>
      <c r="AE361" s="60">
        <v>0</v>
      </c>
    </row>
    <row r="362" spans="1:31" ht="12.95" hidden="1" customHeight="1" outlineLevel="1" x14ac:dyDescent="0.2">
      <c r="A362" s="35"/>
      <c r="B362" s="35"/>
      <c r="C362" s="4"/>
      <c r="D362" s="4"/>
      <c r="F362" s="51" t="s">
        <v>114</v>
      </c>
      <c r="H362" s="80">
        <v>0</v>
      </c>
      <c r="I362" s="80">
        <v>0</v>
      </c>
      <c r="J362" s="80">
        <v>0</v>
      </c>
      <c r="K362" s="91">
        <v>0</v>
      </c>
      <c r="L362" s="91">
        <v>0</v>
      </c>
      <c r="M362" s="80">
        <v>0</v>
      </c>
      <c r="N362" s="80">
        <v>0</v>
      </c>
      <c r="O362" s="80">
        <v>0</v>
      </c>
      <c r="P362" s="80">
        <v>0</v>
      </c>
      <c r="Q362" s="80">
        <v>0</v>
      </c>
      <c r="R362" s="80">
        <v>0</v>
      </c>
      <c r="S362" s="80">
        <v>0</v>
      </c>
      <c r="T362" s="80">
        <v>0</v>
      </c>
      <c r="U362" s="80">
        <v>0</v>
      </c>
      <c r="V362" s="80">
        <v>0</v>
      </c>
      <c r="W362" s="80">
        <v>0</v>
      </c>
      <c r="X362" s="80">
        <v>0</v>
      </c>
      <c r="Y362" s="80">
        <v>0</v>
      </c>
      <c r="AA362" s="80">
        <v>0</v>
      </c>
      <c r="AB362" s="69"/>
      <c r="AD362" s="80">
        <v>0</v>
      </c>
      <c r="AE362" s="69"/>
    </row>
    <row r="363" spans="1:31" ht="18" hidden="1" customHeight="1" outlineLevel="1" x14ac:dyDescent="0.2">
      <c r="A363" s="33" t="s">
        <v>100</v>
      </c>
      <c r="B363" s="33" t="s">
        <v>17</v>
      </c>
      <c r="C363" s="4"/>
      <c r="D363" s="4"/>
      <c r="F363" s="38" t="s">
        <v>103</v>
      </c>
      <c r="H363" s="66">
        <v>0</v>
      </c>
      <c r="I363" s="66">
        <v>0</v>
      </c>
      <c r="J363" s="66">
        <v>0</v>
      </c>
      <c r="K363" s="86">
        <v>0</v>
      </c>
      <c r="L363" s="86">
        <v>0</v>
      </c>
      <c r="M363" s="66">
        <v>0</v>
      </c>
      <c r="N363" s="66">
        <v>0</v>
      </c>
      <c r="O363" s="66">
        <v>0</v>
      </c>
      <c r="P363" s="66">
        <v>0</v>
      </c>
      <c r="Q363" s="66">
        <v>0</v>
      </c>
      <c r="R363" s="66">
        <v>0</v>
      </c>
      <c r="S363" s="66">
        <v>0</v>
      </c>
      <c r="T363" s="66">
        <v>0</v>
      </c>
      <c r="U363" s="66">
        <v>0</v>
      </c>
      <c r="V363" s="66">
        <v>0</v>
      </c>
      <c r="W363" s="66">
        <v>0</v>
      </c>
      <c r="X363" s="66">
        <v>0</v>
      </c>
      <c r="Y363" s="66">
        <v>0</v>
      </c>
      <c r="AA363" s="66">
        <v>0</v>
      </c>
      <c r="AB363" s="60">
        <v>0</v>
      </c>
      <c r="AD363" s="66">
        <v>0</v>
      </c>
      <c r="AE363" s="60">
        <v>0</v>
      </c>
    </row>
    <row r="364" spans="1:31" ht="18" hidden="1" customHeight="1" outlineLevel="1" x14ac:dyDescent="0.2">
      <c r="A364" s="33" t="s">
        <v>101</v>
      </c>
      <c r="B364" s="33" t="s">
        <v>102</v>
      </c>
      <c r="C364" s="4"/>
      <c r="D364" s="4"/>
      <c r="F364" s="38" t="s">
        <v>104</v>
      </c>
      <c r="H364" s="66">
        <v>0</v>
      </c>
      <c r="I364" s="66">
        <v>0</v>
      </c>
      <c r="J364" s="66">
        <v>0</v>
      </c>
      <c r="K364" s="86">
        <v>0</v>
      </c>
      <c r="L364" s="86">
        <v>0</v>
      </c>
      <c r="M364" s="66">
        <v>0</v>
      </c>
      <c r="N364" s="66">
        <v>0</v>
      </c>
      <c r="O364" s="66">
        <v>0</v>
      </c>
      <c r="P364" s="66">
        <v>0</v>
      </c>
      <c r="Q364" s="66">
        <v>0</v>
      </c>
      <c r="R364" s="66">
        <v>0</v>
      </c>
      <c r="S364" s="66">
        <v>0</v>
      </c>
      <c r="T364" s="66">
        <v>0</v>
      </c>
      <c r="U364" s="66">
        <v>0</v>
      </c>
      <c r="V364" s="66">
        <v>0</v>
      </c>
      <c r="W364" s="66">
        <v>0</v>
      </c>
      <c r="X364" s="66">
        <v>0</v>
      </c>
      <c r="Y364" s="66">
        <v>0</v>
      </c>
      <c r="AA364" s="66">
        <v>0</v>
      </c>
      <c r="AB364" s="60">
        <v>0</v>
      </c>
      <c r="AD364" s="66">
        <v>0</v>
      </c>
      <c r="AE364" s="60">
        <v>0</v>
      </c>
    </row>
    <row r="365" spans="1:31" ht="18" customHeight="1" collapsed="1" x14ac:dyDescent="0.2">
      <c r="A365" s="32"/>
      <c r="B365" s="32"/>
      <c r="C365" s="4">
        <v>0</v>
      </c>
      <c r="D365" s="4">
        <v>0</v>
      </c>
      <c r="F365" s="107" t="s">
        <v>105</v>
      </c>
      <c r="G365" s="7"/>
      <c r="H365" s="58">
        <v>0</v>
      </c>
      <c r="I365" s="58">
        <v>0</v>
      </c>
      <c r="J365" s="58">
        <v>0</v>
      </c>
      <c r="K365" s="92">
        <v>0</v>
      </c>
      <c r="L365" s="92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AA365" s="58">
        <v>0</v>
      </c>
      <c r="AB365" s="60">
        <v>0</v>
      </c>
      <c r="AD365" s="58">
        <v>0</v>
      </c>
      <c r="AE365" s="60">
        <v>0</v>
      </c>
    </row>
    <row r="366" spans="1:31" ht="18" customHeight="1" x14ac:dyDescent="0.2">
      <c r="A366" s="32"/>
      <c r="B366" s="32"/>
      <c r="C366" s="4"/>
      <c r="D366" s="4"/>
      <c r="F366" s="191" t="s">
        <v>402</v>
      </c>
      <c r="G366" s="7"/>
      <c r="H366" s="194">
        <v>0</v>
      </c>
      <c r="I366" s="194">
        <v>0</v>
      </c>
      <c r="J366" s="194">
        <v>0</v>
      </c>
      <c r="K366" s="194">
        <v>0</v>
      </c>
      <c r="L366" s="194">
        <v>0</v>
      </c>
      <c r="M366" s="194">
        <v>0</v>
      </c>
      <c r="N366" s="194">
        <v>0</v>
      </c>
      <c r="O366" s="194">
        <v>0</v>
      </c>
      <c r="P366" s="194">
        <v>0</v>
      </c>
      <c r="Q366" s="194">
        <v>0</v>
      </c>
      <c r="R366" s="194">
        <v>0</v>
      </c>
      <c r="S366" s="194">
        <v>0</v>
      </c>
      <c r="T366" s="194">
        <v>0</v>
      </c>
      <c r="U366" s="194">
        <v>0</v>
      </c>
      <c r="V366" s="194">
        <v>0</v>
      </c>
      <c r="W366" s="194">
        <v>0</v>
      </c>
      <c r="X366" s="194">
        <v>0</v>
      </c>
      <c r="Y366" s="194">
        <v>0</v>
      </c>
      <c r="AA366" s="20"/>
      <c r="AB366" s="190"/>
      <c r="AD366" s="190"/>
      <c r="AE366" s="190"/>
    </row>
    <row r="367" spans="1:31" ht="18" hidden="1" customHeight="1" outlineLevel="1" x14ac:dyDescent="0.2">
      <c r="A367" s="192" t="s">
        <v>101</v>
      </c>
      <c r="B367" s="192" t="s">
        <v>403</v>
      </c>
      <c r="C367" s="4"/>
      <c r="D367" s="4"/>
      <c r="F367" s="193" t="s">
        <v>404</v>
      </c>
      <c r="G367" s="7"/>
      <c r="H367" s="66">
        <v>0</v>
      </c>
      <c r="I367" s="66">
        <v>0</v>
      </c>
      <c r="J367" s="66">
        <v>0</v>
      </c>
      <c r="K367" s="86">
        <v>0</v>
      </c>
      <c r="L367" s="86">
        <v>0</v>
      </c>
      <c r="M367" s="66">
        <v>0</v>
      </c>
      <c r="N367" s="66">
        <v>0</v>
      </c>
      <c r="O367" s="66">
        <v>0</v>
      </c>
      <c r="P367" s="66">
        <v>0</v>
      </c>
      <c r="Q367" s="66">
        <v>0</v>
      </c>
      <c r="R367" s="66">
        <v>0</v>
      </c>
      <c r="S367" s="66">
        <v>0</v>
      </c>
      <c r="T367" s="66">
        <v>0</v>
      </c>
      <c r="U367" s="66">
        <v>0</v>
      </c>
      <c r="V367" s="66">
        <v>0</v>
      </c>
      <c r="W367" s="66">
        <v>0</v>
      </c>
      <c r="X367" s="66">
        <v>0</v>
      </c>
      <c r="Y367" s="66">
        <v>0</v>
      </c>
      <c r="AA367" s="20"/>
      <c r="AB367" s="190"/>
      <c r="AD367" s="189"/>
      <c r="AE367" s="190"/>
    </row>
    <row r="368" spans="1:31" ht="18" hidden="1" customHeight="1" outlineLevel="1" x14ac:dyDescent="0.2">
      <c r="A368" s="192" t="s">
        <v>405</v>
      </c>
      <c r="B368" s="192" t="s">
        <v>17</v>
      </c>
      <c r="C368" s="4"/>
      <c r="D368" s="4"/>
      <c r="F368" s="193" t="s">
        <v>406</v>
      </c>
      <c r="G368" s="7"/>
      <c r="H368" s="66">
        <v>0</v>
      </c>
      <c r="I368" s="66">
        <v>0</v>
      </c>
      <c r="J368" s="66">
        <v>0</v>
      </c>
      <c r="K368" s="86">
        <v>0</v>
      </c>
      <c r="L368" s="86">
        <v>0</v>
      </c>
      <c r="M368" s="66">
        <v>0</v>
      </c>
      <c r="N368" s="66">
        <v>0</v>
      </c>
      <c r="O368" s="66">
        <v>0</v>
      </c>
      <c r="P368" s="66">
        <v>0</v>
      </c>
      <c r="Q368" s="66">
        <v>0</v>
      </c>
      <c r="R368" s="66">
        <v>0</v>
      </c>
      <c r="S368" s="66">
        <v>0</v>
      </c>
      <c r="T368" s="66">
        <v>0</v>
      </c>
      <c r="U368" s="66">
        <v>0</v>
      </c>
      <c r="V368" s="66">
        <v>0</v>
      </c>
      <c r="W368" s="66">
        <v>0</v>
      </c>
      <c r="X368" s="66">
        <v>0</v>
      </c>
      <c r="Y368" s="66">
        <v>0</v>
      </c>
      <c r="AA368" s="20"/>
      <c r="AB368" s="190"/>
      <c r="AD368" s="189"/>
      <c r="AE368" s="190"/>
    </row>
    <row r="369" spans="1:33" ht="18" customHeight="1" collapsed="1" x14ac:dyDescent="0.2">
      <c r="A369" s="32"/>
      <c r="B369" s="32"/>
      <c r="C369" s="4"/>
      <c r="D369" s="4"/>
      <c r="F369" s="191" t="s">
        <v>407</v>
      </c>
      <c r="G369" s="7"/>
      <c r="H369" s="194">
        <v>0</v>
      </c>
      <c r="I369" s="194">
        <v>0</v>
      </c>
      <c r="J369" s="194">
        <v>0</v>
      </c>
      <c r="K369" s="194">
        <v>0</v>
      </c>
      <c r="L369" s="194">
        <v>0</v>
      </c>
      <c r="M369" s="194">
        <v>0</v>
      </c>
      <c r="N369" s="194">
        <v>0</v>
      </c>
      <c r="O369" s="194">
        <v>0</v>
      </c>
      <c r="P369" s="194">
        <v>0</v>
      </c>
      <c r="Q369" s="194">
        <v>0</v>
      </c>
      <c r="R369" s="194">
        <v>0</v>
      </c>
      <c r="S369" s="194">
        <v>0</v>
      </c>
      <c r="T369" s="194">
        <v>0</v>
      </c>
      <c r="U369" s="194">
        <v>0</v>
      </c>
      <c r="V369" s="194">
        <v>0</v>
      </c>
      <c r="W369" s="194">
        <v>0</v>
      </c>
      <c r="X369" s="194">
        <v>0</v>
      </c>
      <c r="Y369" s="194">
        <v>0</v>
      </c>
      <c r="AA369" s="20"/>
      <c r="AB369" s="190"/>
      <c r="AD369" s="190"/>
      <c r="AE369" s="190"/>
    </row>
    <row r="370" spans="1:33" ht="18" customHeight="1" x14ac:dyDescent="0.2">
      <c r="A370" s="30" t="s">
        <v>106</v>
      </c>
      <c r="B370" s="30" t="s">
        <v>17</v>
      </c>
      <c r="C370" s="4"/>
      <c r="D370" s="4"/>
      <c r="F370" s="106" t="s">
        <v>108</v>
      </c>
      <c r="H370" s="61">
        <v>0</v>
      </c>
      <c r="I370" s="61">
        <v>0</v>
      </c>
      <c r="J370" s="61">
        <v>0</v>
      </c>
      <c r="K370" s="86"/>
      <c r="L370" s="86"/>
      <c r="M370" s="61">
        <v>0</v>
      </c>
      <c r="N370" s="61">
        <v>0</v>
      </c>
      <c r="O370" s="61">
        <v>0</v>
      </c>
      <c r="P370" s="61">
        <v>0</v>
      </c>
      <c r="Q370" s="61">
        <v>0</v>
      </c>
      <c r="R370" s="61">
        <v>0</v>
      </c>
      <c r="S370" s="61">
        <v>0</v>
      </c>
      <c r="T370" s="61">
        <v>0</v>
      </c>
      <c r="U370" s="61">
        <v>0</v>
      </c>
      <c r="V370" s="61">
        <v>0</v>
      </c>
      <c r="W370" s="61">
        <v>0</v>
      </c>
      <c r="X370" s="61">
        <v>0</v>
      </c>
      <c r="Y370" s="61">
        <v>0</v>
      </c>
      <c r="AA370" s="20"/>
      <c r="AB370" s="16"/>
      <c r="AD370" s="20"/>
      <c r="AE370" s="16"/>
    </row>
    <row r="371" spans="1:33" ht="18" customHeight="1" x14ac:dyDescent="0.2">
      <c r="A371" s="30" t="s">
        <v>107</v>
      </c>
      <c r="B371" s="30" t="s">
        <v>17</v>
      </c>
      <c r="C371" s="4"/>
      <c r="D371" s="4"/>
      <c r="F371" s="106" t="s">
        <v>109</v>
      </c>
      <c r="H371" s="61">
        <v>0</v>
      </c>
      <c r="I371" s="61">
        <v>0</v>
      </c>
      <c r="J371" s="61">
        <v>0</v>
      </c>
      <c r="K371" s="86"/>
      <c r="L371" s="86"/>
      <c r="M371" s="61">
        <v>0</v>
      </c>
      <c r="N371" s="61">
        <v>0</v>
      </c>
      <c r="O371" s="61">
        <v>0</v>
      </c>
      <c r="P371" s="61">
        <v>0</v>
      </c>
      <c r="Q371" s="61">
        <v>0</v>
      </c>
      <c r="R371" s="61">
        <v>0</v>
      </c>
      <c r="S371" s="61">
        <v>0</v>
      </c>
      <c r="T371" s="61">
        <v>0</v>
      </c>
      <c r="U371" s="61">
        <v>0</v>
      </c>
      <c r="V371" s="61">
        <v>0</v>
      </c>
      <c r="W371" s="61">
        <v>0</v>
      </c>
      <c r="X371" s="61">
        <v>0</v>
      </c>
      <c r="Y371" s="61">
        <v>0</v>
      </c>
      <c r="AA371" s="20"/>
      <c r="AB371" s="16"/>
      <c r="AD371" s="20"/>
      <c r="AE371" s="16"/>
    </row>
    <row r="372" spans="1:33" ht="18" customHeight="1" x14ac:dyDescent="0.2">
      <c r="A372" s="30"/>
      <c r="B372" s="30"/>
      <c r="C372" s="4"/>
      <c r="D372" s="4"/>
      <c r="F372" s="106" t="s">
        <v>110</v>
      </c>
      <c r="H372" s="61">
        <v>0</v>
      </c>
      <c r="I372" s="61">
        <v>0</v>
      </c>
      <c r="J372" s="61">
        <v>0</v>
      </c>
      <c r="K372" s="86"/>
      <c r="L372" s="86"/>
      <c r="M372" s="61">
        <v>0</v>
      </c>
      <c r="N372" s="61">
        <v>0</v>
      </c>
      <c r="O372" s="61">
        <v>0</v>
      </c>
      <c r="P372" s="61">
        <v>0</v>
      </c>
      <c r="Q372" s="61">
        <v>0</v>
      </c>
      <c r="R372" s="61">
        <v>0</v>
      </c>
      <c r="S372" s="61">
        <v>0</v>
      </c>
      <c r="T372" s="61">
        <v>0</v>
      </c>
      <c r="U372" s="61">
        <v>0</v>
      </c>
      <c r="V372" s="61">
        <v>0</v>
      </c>
      <c r="W372" s="61">
        <v>0</v>
      </c>
      <c r="X372" s="61">
        <v>0</v>
      </c>
      <c r="Y372" s="61">
        <v>0</v>
      </c>
      <c r="AA372" s="20"/>
      <c r="AB372" s="16"/>
      <c r="AD372" s="20"/>
      <c r="AE372" s="16"/>
    </row>
    <row r="373" spans="1:33" ht="18" customHeight="1" collapsed="1" x14ac:dyDescent="0.2">
      <c r="A373" s="32"/>
      <c r="B373" s="32"/>
      <c r="C373" s="4">
        <v>0</v>
      </c>
      <c r="D373" s="4">
        <v>0</v>
      </c>
      <c r="F373" s="107" t="s">
        <v>111</v>
      </c>
      <c r="H373" s="58">
        <v>0</v>
      </c>
      <c r="I373" s="58">
        <v>0</v>
      </c>
      <c r="J373" s="58">
        <v>0</v>
      </c>
      <c r="K373" s="92">
        <v>0</v>
      </c>
      <c r="L373" s="92">
        <v>0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AA373" s="58">
        <v>0</v>
      </c>
      <c r="AB373" s="60">
        <v>0</v>
      </c>
      <c r="AD373" s="58">
        <v>0</v>
      </c>
      <c r="AE373" s="60">
        <v>0</v>
      </c>
    </row>
    <row r="374" spans="1:33" ht="15" x14ac:dyDescent="0.2">
      <c r="A374" s="4"/>
      <c r="B374" s="4"/>
      <c r="C374" s="4"/>
      <c r="D374" s="4"/>
      <c r="F374" s="96"/>
      <c r="H374" s="16"/>
      <c r="I374" s="16"/>
      <c r="J374" s="16"/>
      <c r="K374" s="85"/>
      <c r="L374" s="85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AA374" s="16"/>
      <c r="AB374" s="8"/>
      <c r="AD374" s="16"/>
      <c r="AE374" s="8"/>
    </row>
    <row r="375" spans="1:33" ht="15" x14ac:dyDescent="0.2">
      <c r="F375" s="102" t="s">
        <v>370</v>
      </c>
      <c r="H375" s="81">
        <v>18.519488142292492</v>
      </c>
      <c r="I375" s="81">
        <v>17.253706738287889</v>
      </c>
      <c r="J375" s="81">
        <v>17.253706738287889</v>
      </c>
      <c r="K375" s="83">
        <v>12.615848484848485</v>
      </c>
      <c r="L375" s="83">
        <v>10.991838955386291</v>
      </c>
      <c r="M375" s="81">
        <v>9.2440105321507744</v>
      </c>
      <c r="N375" s="81">
        <v>9.7733753943217661</v>
      </c>
      <c r="O375" s="81">
        <v>13.657219730941701</v>
      </c>
      <c r="P375" s="81">
        <v>11.891958041958043</v>
      </c>
      <c r="Q375" s="81">
        <v>10.447284345047924</v>
      </c>
      <c r="R375" s="81">
        <v>10.227291894852135</v>
      </c>
      <c r="S375" s="81">
        <v>10.060057502738234</v>
      </c>
      <c r="T375" s="81">
        <v>9.8879518072289052</v>
      </c>
      <c r="U375" s="81">
        <v>15.429292929292908</v>
      </c>
      <c r="V375" s="81">
        <v>12.772668857247188</v>
      </c>
      <c r="W375" s="81">
        <v>13.942048192771066</v>
      </c>
      <c r="X375" s="81">
        <v>12.298730933496058</v>
      </c>
      <c r="Y375" s="81">
        <v>11.350026560075738</v>
      </c>
      <c r="AA375" s="81">
        <v>12.615848484848485</v>
      </c>
      <c r="AB375" s="8"/>
      <c r="AD375" s="81">
        <v>10.991838955386291</v>
      </c>
      <c r="AE375" s="8"/>
    </row>
    <row r="376" spans="1:33" ht="15" x14ac:dyDescent="0.2">
      <c r="F376" s="102" t="s">
        <v>371</v>
      </c>
      <c r="H376" s="81">
        <v>51.63008815426997</v>
      </c>
      <c r="I376" s="81">
        <v>53.709443327336224</v>
      </c>
      <c r="J376" s="81">
        <v>53.709443327336224</v>
      </c>
      <c r="K376" s="83">
        <v>37.847545454545454</v>
      </c>
      <c r="L376" s="83">
        <v>36.533453887884271</v>
      </c>
      <c r="M376" s="81">
        <v>36.530547645125957</v>
      </c>
      <c r="N376" s="81">
        <v>53.416551724137953</v>
      </c>
      <c r="O376" s="81">
        <v>36.693493975903593</v>
      </c>
      <c r="P376" s="81">
        <v>40.977108433734927</v>
      </c>
      <c r="Q376" s="81">
        <v>41.392405063291172</v>
      </c>
      <c r="R376" s="81">
        <v>40.909167579408539</v>
      </c>
      <c r="S376" s="81">
        <v>55.665651515151438</v>
      </c>
      <c r="T376" s="81">
        <v>51.293750000000088</v>
      </c>
      <c r="U376" s="81">
        <v>105.34482758620658</v>
      </c>
      <c r="V376" s="81">
        <v>38.318006571741613</v>
      </c>
      <c r="W376" s="81">
        <v>41.826144578313176</v>
      </c>
      <c r="X376" s="81">
        <v>42.616532769556031</v>
      </c>
      <c r="Y376" s="81">
        <v>44.893640524235494</v>
      </c>
      <c r="AA376" s="81">
        <v>37.847545454545454</v>
      </c>
      <c r="AB376" s="8"/>
      <c r="AD376" s="81">
        <v>36.533453887884271</v>
      </c>
      <c r="AE376" s="8"/>
    </row>
    <row r="377" spans="1:33" s="11" customFormat="1" ht="15" x14ac:dyDescent="0.2">
      <c r="A377" s="8"/>
      <c r="B377" s="8"/>
      <c r="C377" s="8"/>
      <c r="D377" s="8"/>
      <c r="E377" s="8"/>
      <c r="F377" s="103"/>
      <c r="G377" s="8"/>
      <c r="H377" s="82"/>
      <c r="I377" s="16"/>
      <c r="J377" s="16"/>
      <c r="K377" s="84"/>
      <c r="L377" s="84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8"/>
      <c r="AA377" s="16"/>
      <c r="AB377" s="8"/>
      <c r="AC377" s="8"/>
      <c r="AD377" s="16"/>
      <c r="AE377" s="8"/>
      <c r="AF377" s="8"/>
      <c r="AG377" s="8"/>
    </row>
    <row r="378" spans="1:33" s="11" customFormat="1" ht="15" x14ac:dyDescent="0.2">
      <c r="A378" s="8"/>
      <c r="B378" s="8"/>
      <c r="C378" s="8"/>
      <c r="D378" s="8"/>
      <c r="E378" s="8"/>
      <c r="F378" s="102" t="s">
        <v>356</v>
      </c>
      <c r="G378" s="8"/>
      <c r="H378" s="81">
        <v>130.57539572226432</v>
      </c>
      <c r="I378" s="81">
        <v>148.01467497974832</v>
      </c>
      <c r="J378" s="81">
        <v>148.01467497974832</v>
      </c>
      <c r="K378" s="83">
        <v>156.26603862866094</v>
      </c>
      <c r="L378" s="83">
        <v>151.31062218482404</v>
      </c>
      <c r="M378" s="81">
        <v>14.749332806434563</v>
      </c>
      <c r="N378" s="81">
        <v>12.794960019280259</v>
      </c>
      <c r="O378" s="81">
        <v>12.216965024494677</v>
      </c>
      <c r="P378" s="81">
        <v>13.158708457067817</v>
      </c>
      <c r="Q378" s="81">
        <v>14.010856269113148</v>
      </c>
      <c r="R378" s="81">
        <v>13.759128608505053</v>
      </c>
      <c r="S378" s="81">
        <v>11.919753299801615</v>
      </c>
      <c r="T378" s="81">
        <v>12.203225904715472</v>
      </c>
      <c r="U378" s="81">
        <v>13.966121112929635</v>
      </c>
      <c r="V378" s="81">
        <v>13.239735740810493</v>
      </c>
      <c r="W378" s="81">
        <v>12.957585952945417</v>
      </c>
      <c r="X378" s="81">
        <v>12.738782736586298</v>
      </c>
      <c r="Y378" s="81">
        <v>157.55749448816292</v>
      </c>
      <c r="Z378" s="8"/>
      <c r="AA378" s="81">
        <v>156.26603862866094</v>
      </c>
      <c r="AB378" s="8"/>
      <c r="AC378" s="8"/>
      <c r="AD378" s="81">
        <v>151.31062218482404</v>
      </c>
      <c r="AE378" s="8"/>
      <c r="AF378" s="8"/>
      <c r="AG378" s="8"/>
    </row>
    <row r="379" spans="1:33" ht="15" x14ac:dyDescent="0.2">
      <c r="F379" s="96"/>
      <c r="H379" s="16"/>
      <c r="I379" s="16"/>
      <c r="J379" s="16"/>
      <c r="K379" s="85"/>
      <c r="L379" s="85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AA379" s="16"/>
      <c r="AB379" s="8"/>
      <c r="AD379" s="16"/>
      <c r="AE379" s="8"/>
    </row>
    <row r="380" spans="1:33" s="11" customFormat="1" ht="15" x14ac:dyDescent="0.2">
      <c r="A380" s="8"/>
      <c r="B380" s="8"/>
      <c r="C380" s="8"/>
      <c r="D380" s="8"/>
      <c r="E380" s="8"/>
      <c r="F380" s="102" t="s">
        <v>254</v>
      </c>
      <c r="G380" s="8"/>
      <c r="H380" s="81">
        <v>6.7602863058465932</v>
      </c>
      <c r="I380" s="81">
        <v>6.1689355996789548</v>
      </c>
      <c r="J380" s="81">
        <v>6.1689355996789548</v>
      </c>
      <c r="K380" s="83">
        <v>5.6609576534576531</v>
      </c>
      <c r="L380" s="83">
        <v>5.9987698833510086</v>
      </c>
      <c r="M380" s="81">
        <v>4.9123381432713469</v>
      </c>
      <c r="N380" s="81">
        <v>5.3490331491712713</v>
      </c>
      <c r="O380" s="81">
        <v>6.6426497164578997</v>
      </c>
      <c r="P380" s="81">
        <v>7.4791719024880603</v>
      </c>
      <c r="Q380" s="81">
        <v>7.4082464884458581</v>
      </c>
      <c r="R380" s="81">
        <v>6.8741978145639617</v>
      </c>
      <c r="S380" s="81">
        <v>5.8932177950099911</v>
      </c>
      <c r="T380" s="81">
        <v>5.7964887498738742</v>
      </c>
      <c r="U380" s="81">
        <v>6.8191964285714439</v>
      </c>
      <c r="V380" s="81">
        <v>5.3436613264321968</v>
      </c>
      <c r="W380" s="81">
        <v>4.8709140108238067</v>
      </c>
      <c r="X380" s="81">
        <v>5.693048270742219</v>
      </c>
      <c r="Y380" s="81">
        <v>5.9651224850746187</v>
      </c>
      <c r="Z380" s="8"/>
      <c r="AA380" s="81">
        <v>5.6609576534576531</v>
      </c>
      <c r="AB380" s="8"/>
      <c r="AC380" s="8"/>
      <c r="AD380" s="81">
        <v>5.9987698833510086</v>
      </c>
      <c r="AE380" s="8"/>
      <c r="AF380" s="8"/>
      <c r="AG380" s="8"/>
    </row>
    <row r="381" spans="1:33" s="11" customFormat="1" ht="15" x14ac:dyDescent="0.2">
      <c r="A381" s="8"/>
      <c r="B381" s="8"/>
      <c r="C381" s="8"/>
      <c r="D381" s="8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8"/>
      <c r="AC381" s="20"/>
      <c r="AD381" s="20"/>
      <c r="AE381" s="8"/>
      <c r="AF381" s="8"/>
      <c r="AG381" s="8"/>
    </row>
    <row r="382" spans="1:33" s="11" customFormat="1" x14ac:dyDescent="0.2">
      <c r="A382" s="42" t="s">
        <v>30</v>
      </c>
      <c r="B382" s="42" t="s">
        <v>17</v>
      </c>
      <c r="C382" s="8"/>
      <c r="D382" s="8"/>
      <c r="E382" s="8"/>
      <c r="F382" s="43" t="s">
        <v>253</v>
      </c>
      <c r="G382" s="8"/>
      <c r="H382" s="44">
        <v>0</v>
      </c>
      <c r="I382" s="44">
        <v>0</v>
      </c>
      <c r="J382" s="44">
        <v>0</v>
      </c>
      <c r="K382" s="44">
        <v>0</v>
      </c>
      <c r="L382" s="44">
        <v>0</v>
      </c>
      <c r="M382" s="44">
        <v>0</v>
      </c>
      <c r="N382" s="44">
        <v>1.7053025658242404E-13</v>
      </c>
      <c r="O382" s="44">
        <v>5.6843418860808015E-14</v>
      </c>
      <c r="P382" s="44">
        <v>5.6843418860808015E-14</v>
      </c>
      <c r="Q382" s="44">
        <v>1.1368683772161603E-13</v>
      </c>
      <c r="R382" s="44">
        <v>2.2737367544323206E-13</v>
      </c>
      <c r="S382" s="44">
        <v>-1.1368683772161603E-13</v>
      </c>
      <c r="T382" s="44">
        <v>4.5474735088646412E-13</v>
      </c>
      <c r="U382" s="44">
        <v>4.5474735088646412E-13</v>
      </c>
      <c r="V382" s="44">
        <v>2.2737367544323206E-13</v>
      </c>
      <c r="W382" s="44">
        <v>0</v>
      </c>
      <c r="X382" s="44">
        <v>-2.2737367544323206E-13</v>
      </c>
      <c r="Y382" s="44">
        <v>0</v>
      </c>
      <c r="Z382" s="8"/>
      <c r="AA382" s="8"/>
      <c r="AB382" s="8"/>
      <c r="AC382" s="8"/>
      <c r="AD382" s="8"/>
      <c r="AE382" s="8"/>
      <c r="AF382" s="8"/>
      <c r="AG382" s="8"/>
    </row>
    <row r="383" spans="1:33" s="2" customFormat="1" ht="12.75" x14ac:dyDescent="0.2">
      <c r="F383" s="1"/>
      <c r="K383" s="49"/>
      <c r="L383" s="49"/>
      <c r="AB383" s="8"/>
      <c r="AE383" s="8"/>
    </row>
    <row r="384" spans="1:33" s="11" customFormat="1" x14ac:dyDescent="0.2">
      <c r="A384" s="8"/>
      <c r="B384" s="8"/>
      <c r="C384" s="8"/>
      <c r="D384" s="8"/>
      <c r="F384" s="11" t="s">
        <v>315</v>
      </c>
      <c r="M384" s="125" t="s">
        <v>388</v>
      </c>
      <c r="N384" s="125" t="s">
        <v>364</v>
      </c>
      <c r="O384" s="125" t="s">
        <v>316</v>
      </c>
      <c r="P384" s="125" t="s">
        <v>317</v>
      </c>
      <c r="Q384" s="125" t="s">
        <v>318</v>
      </c>
      <c r="R384" s="125" t="s">
        <v>319</v>
      </c>
      <c r="S384" s="125" t="s">
        <v>365</v>
      </c>
      <c r="T384" s="125" t="s">
        <v>320</v>
      </c>
      <c r="U384" s="125" t="s">
        <v>366</v>
      </c>
      <c r="V384" s="125" t="s">
        <v>367</v>
      </c>
      <c r="W384" s="125" t="s">
        <v>368</v>
      </c>
      <c r="X384" s="125" t="s">
        <v>369</v>
      </c>
      <c r="AB384" s="8"/>
      <c r="AE384" s="8"/>
      <c r="AF384" s="8"/>
      <c r="AG384" s="8"/>
    </row>
    <row r="385" spans="1:33" s="11" customFormat="1" x14ac:dyDescent="0.2">
      <c r="A385" s="8"/>
      <c r="B385" s="8"/>
      <c r="C385" s="8"/>
      <c r="D385" s="8"/>
      <c r="M385" s="126" t="s">
        <v>5</v>
      </c>
      <c r="N385" s="126" t="s">
        <v>6</v>
      </c>
      <c r="O385" s="126" t="s">
        <v>7</v>
      </c>
      <c r="P385" s="126" t="s">
        <v>8</v>
      </c>
      <c r="Q385" s="126" t="s">
        <v>9</v>
      </c>
      <c r="R385" s="126" t="s">
        <v>10</v>
      </c>
      <c r="S385" s="126" t="s">
        <v>321</v>
      </c>
      <c r="T385" s="126" t="s">
        <v>11</v>
      </c>
      <c r="U385" s="126" t="s">
        <v>12</v>
      </c>
      <c r="V385" s="126" t="s">
        <v>13</v>
      </c>
      <c r="W385" s="126" t="s">
        <v>14</v>
      </c>
      <c r="X385" s="126" t="s">
        <v>15</v>
      </c>
      <c r="AB385" s="8"/>
      <c r="AE385" s="8"/>
      <c r="AF385" s="8"/>
      <c r="AG385" s="8"/>
    </row>
    <row r="386" spans="1:33" s="11" customFormat="1" x14ac:dyDescent="0.2">
      <c r="A386" s="8"/>
      <c r="B386" s="8"/>
      <c r="C386" s="8"/>
      <c r="D386" s="8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AB386" s="8"/>
      <c r="AE386" s="8"/>
      <c r="AF386" s="8"/>
      <c r="AG386" s="8"/>
    </row>
    <row r="387" spans="1:33" s="11" customFormat="1" x14ac:dyDescent="0.2">
      <c r="A387" s="42" t="s">
        <v>30</v>
      </c>
      <c r="B387" s="42" t="s">
        <v>17</v>
      </c>
      <c r="C387" s="8"/>
      <c r="D387" s="8"/>
      <c r="F387" s="52">
        <v>2021</v>
      </c>
      <c r="M387" s="55">
        <v>54.329059999999998</v>
      </c>
      <c r="N387" s="55">
        <v>141.00147000000001</v>
      </c>
      <c r="O387" s="55">
        <v>234.35189</v>
      </c>
      <c r="P387" s="55">
        <v>352.35615999999999</v>
      </c>
      <c r="Q387" s="55">
        <v>536.69295999999997</v>
      </c>
      <c r="R387" s="55">
        <v>657.24779999999998</v>
      </c>
      <c r="S387" s="55">
        <v>853.66790000000003</v>
      </c>
      <c r="T387" s="55">
        <v>1124.31087</v>
      </c>
      <c r="U387" s="55">
        <v>1276.86196</v>
      </c>
      <c r="V387" s="55">
        <v>1402.9110000000001</v>
      </c>
      <c r="W387" s="55">
        <v>1490.9459999999999</v>
      </c>
      <c r="X387" s="55">
        <v>1613.347</v>
      </c>
      <c r="AB387" s="8"/>
      <c r="AE387" s="8"/>
      <c r="AF387" s="8"/>
      <c r="AG387" s="8"/>
    </row>
    <row r="388" spans="1:33" s="11" customFormat="1" x14ac:dyDescent="0.2">
      <c r="A388" s="42" t="s">
        <v>30</v>
      </c>
      <c r="B388" s="42" t="s">
        <v>17</v>
      </c>
      <c r="C388" s="8"/>
      <c r="D388" s="8"/>
      <c r="F388" s="52">
        <v>2022</v>
      </c>
      <c r="M388" s="55">
        <v>36.972999999999999</v>
      </c>
      <c r="N388" s="55">
        <v>128.47499999999999</v>
      </c>
      <c r="O388" s="55">
        <v>233.12</v>
      </c>
      <c r="P388" s="55">
        <v>372.26100000000002</v>
      </c>
      <c r="Q388" s="55">
        <v>618.65599999999995</v>
      </c>
      <c r="R388" s="55">
        <v>795.32299999999998</v>
      </c>
      <c r="S388" s="55">
        <v>979.20600000000104</v>
      </c>
      <c r="T388" s="55">
        <v>1260.377</v>
      </c>
      <c r="U388" s="55">
        <v>1438.58925</v>
      </c>
      <c r="V388" s="55">
        <v>1583.2190000000001</v>
      </c>
      <c r="W388" s="55">
        <v>1696.222</v>
      </c>
      <c r="X388" s="55">
        <v>1860.7919999999999</v>
      </c>
      <c r="AB388" s="8"/>
      <c r="AE388" s="8"/>
      <c r="AF388" s="8"/>
      <c r="AG388" s="8"/>
    </row>
    <row r="389" spans="1:33" s="11" customFormat="1" x14ac:dyDescent="0.2">
      <c r="A389" s="42" t="s">
        <v>30</v>
      </c>
      <c r="B389" s="42" t="s">
        <v>17</v>
      </c>
      <c r="C389" s="8"/>
      <c r="D389" s="8"/>
      <c r="F389" s="124" t="s">
        <v>489</v>
      </c>
      <c r="L389" s="54">
        <v>1649.434120000001</v>
      </c>
      <c r="M389" s="55">
        <v>137.45284333333342</v>
      </c>
      <c r="N389" s="55">
        <v>274.90568666666684</v>
      </c>
      <c r="O389" s="55">
        <v>412.35853000000026</v>
      </c>
      <c r="P389" s="55">
        <v>549.81137333333368</v>
      </c>
      <c r="Q389" s="55">
        <v>687.26421666666704</v>
      </c>
      <c r="R389" s="55">
        <v>824.71706000000052</v>
      </c>
      <c r="S389" s="55">
        <v>962.16990333333388</v>
      </c>
      <c r="T389" s="55">
        <v>1099.6227466666674</v>
      </c>
      <c r="U389" s="55">
        <v>1237.0755900000008</v>
      </c>
      <c r="V389" s="55">
        <v>1374.5284333333341</v>
      </c>
      <c r="W389" s="55">
        <v>1511.9812766666676</v>
      </c>
      <c r="X389" s="55">
        <v>1649.434120000001</v>
      </c>
      <c r="AB389" s="8"/>
      <c r="AE389" s="8"/>
      <c r="AF389" s="8"/>
      <c r="AG389" s="8"/>
    </row>
    <row r="390" spans="1:33" s="11" customFormat="1" x14ac:dyDescent="0.2">
      <c r="A390" s="42" t="s">
        <v>30</v>
      </c>
      <c r="B390" s="42" t="s">
        <v>17</v>
      </c>
      <c r="C390" s="8"/>
      <c r="D390" s="8"/>
      <c r="F390" s="52" t="s">
        <v>450</v>
      </c>
      <c r="M390" s="55">
        <v>140.64099999999999</v>
      </c>
      <c r="N390" s="55">
        <v>214.24100000000001</v>
      </c>
      <c r="O390" s="55">
        <v>263.98899999999998</v>
      </c>
      <c r="P390" s="55">
        <v>420.66500000000002</v>
      </c>
      <c r="Q390" s="55">
        <v>628.20699999999999</v>
      </c>
      <c r="R390" s="55">
        <v>788.02599999999995</v>
      </c>
      <c r="S390" s="55">
        <v>974.15099999999995</v>
      </c>
      <c r="T390" s="55">
        <v>1166.7360000000001</v>
      </c>
      <c r="U390" s="55">
        <v>1316.797</v>
      </c>
      <c r="V390" s="55">
        <v>1429.3430000000001</v>
      </c>
      <c r="W390" s="55">
        <v>1573.0519999999999</v>
      </c>
      <c r="X390" s="55">
        <v>1762.1279999999999</v>
      </c>
      <c r="AB390" s="8"/>
      <c r="AE390" s="8"/>
      <c r="AF390" s="8"/>
      <c r="AG390" s="8"/>
    </row>
    <row r="391" spans="1:33" s="11" customFormat="1" x14ac:dyDescent="0.2">
      <c r="A391" s="8"/>
      <c r="B391" s="8"/>
      <c r="C391" s="8"/>
      <c r="D391" s="8"/>
      <c r="F391" s="11" t="s">
        <v>490</v>
      </c>
      <c r="L391" s="54">
        <v>1649.434120000001</v>
      </c>
      <c r="M391" s="55" t="s">
        <v>481</v>
      </c>
      <c r="N391" s="55" t="s">
        <v>481</v>
      </c>
      <c r="O391" s="55" t="s">
        <v>481</v>
      </c>
      <c r="P391" s="55" t="s">
        <v>481</v>
      </c>
      <c r="Q391" s="55" t="s">
        <v>481</v>
      </c>
      <c r="R391" s="55" t="s">
        <v>481</v>
      </c>
      <c r="S391" s="55" t="s">
        <v>481</v>
      </c>
      <c r="T391" s="55" t="s">
        <v>481</v>
      </c>
      <c r="U391" s="55" t="s">
        <v>481</v>
      </c>
      <c r="V391" s="55" t="s">
        <v>481</v>
      </c>
      <c r="W391" s="55" t="s">
        <v>481</v>
      </c>
      <c r="X391" s="55">
        <v>1762.1279999999999</v>
      </c>
      <c r="AB391" s="8"/>
      <c r="AE391" s="8"/>
      <c r="AF391" s="8"/>
      <c r="AG391" s="8"/>
    </row>
    <row r="392" spans="1:33" s="2" customFormat="1" ht="12.75" x14ac:dyDescent="0.2">
      <c r="F392" s="1"/>
      <c r="K392" s="49"/>
      <c r="L392" s="49"/>
      <c r="AB392" s="8"/>
      <c r="AE392" s="8"/>
    </row>
    <row r="393" spans="1:33" s="2" customFormat="1" ht="12.75" x14ac:dyDescent="0.2">
      <c r="F393" s="1"/>
      <c r="K393" s="49"/>
      <c r="L393" s="49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AB393" s="8"/>
      <c r="AE393" s="8"/>
    </row>
    <row r="394" spans="1:33" s="2" customFormat="1" ht="12.75" x14ac:dyDescent="0.2">
      <c r="F394" s="1"/>
      <c r="K394" s="49"/>
      <c r="L394" s="49"/>
      <c r="AB394" s="8"/>
      <c r="AE394" s="8"/>
    </row>
    <row r="395" spans="1:33" s="2" customFormat="1" ht="12.75" x14ac:dyDescent="0.2">
      <c r="F395" s="1"/>
      <c r="K395" s="49"/>
      <c r="L395" s="49"/>
      <c r="AB395" s="8"/>
      <c r="AE395" s="8"/>
    </row>
    <row r="396" spans="1:33" s="2" customFormat="1" ht="12.75" x14ac:dyDescent="0.2">
      <c r="F396" s="1"/>
      <c r="K396" s="49"/>
      <c r="L396" s="49"/>
      <c r="R396" s="93"/>
      <c r="S396" s="93"/>
      <c r="T396" s="93"/>
      <c r="AB396" s="8"/>
      <c r="AE396" s="8"/>
    </row>
    <row r="397" spans="1:33" s="2" customFormat="1" ht="12.75" x14ac:dyDescent="0.2">
      <c r="F397" s="1"/>
      <c r="K397" s="49"/>
      <c r="L397" s="49"/>
      <c r="AB397" s="8"/>
      <c r="AE397" s="8"/>
    </row>
    <row r="398" spans="1:33" s="2" customFormat="1" ht="12.75" x14ac:dyDescent="0.2">
      <c r="F398" s="1"/>
      <c r="K398" s="49"/>
      <c r="L398" s="49"/>
      <c r="AB398" s="8"/>
      <c r="AE398" s="8"/>
    </row>
    <row r="399" spans="1:33" s="2" customFormat="1" ht="12.75" x14ac:dyDescent="0.2">
      <c r="F399" s="1"/>
      <c r="K399" s="49"/>
      <c r="L399" s="49"/>
      <c r="AB399" s="8"/>
      <c r="AE399" s="8"/>
    </row>
    <row r="400" spans="1:33" s="2" customFormat="1" ht="12.75" x14ac:dyDescent="0.2">
      <c r="F400" s="1"/>
      <c r="K400" s="49"/>
      <c r="L400" s="49"/>
      <c r="AB400" s="8"/>
      <c r="AE400" s="8"/>
    </row>
    <row r="401" spans="6:31" s="2" customFormat="1" ht="12.75" x14ac:dyDescent="0.2">
      <c r="F401" s="1"/>
      <c r="K401" s="49"/>
      <c r="L401" s="49"/>
      <c r="AB401" s="8"/>
      <c r="AE401" s="8"/>
    </row>
    <row r="402" spans="6:31" s="2" customFormat="1" ht="12.75" x14ac:dyDescent="0.2">
      <c r="F402" s="1"/>
      <c r="K402" s="49"/>
      <c r="L402" s="49"/>
      <c r="AB402" s="8"/>
      <c r="AE402" s="8"/>
    </row>
    <row r="403" spans="6:31" s="2" customFormat="1" x14ac:dyDescent="0.2">
      <c r="F403" s="1"/>
      <c r="K403" s="49"/>
      <c r="L403" s="49"/>
      <c r="AB403" s="8"/>
      <c r="AE403" s="3"/>
    </row>
    <row r="404" spans="6:31" s="2" customFormat="1" x14ac:dyDescent="0.2">
      <c r="F404" s="1"/>
      <c r="K404" s="49"/>
      <c r="L404" s="49"/>
      <c r="AB404" s="3"/>
      <c r="AE404" s="3"/>
    </row>
    <row r="405" spans="6:31" s="2" customFormat="1" x14ac:dyDescent="0.2">
      <c r="F405" s="1"/>
      <c r="K405" s="49"/>
      <c r="L405" s="49"/>
      <c r="AB405" s="3"/>
      <c r="AE405" s="3"/>
    </row>
    <row r="406" spans="6:31" s="2" customFormat="1" x14ac:dyDescent="0.2">
      <c r="F406" s="1"/>
      <c r="K406" s="49"/>
      <c r="L406" s="49"/>
      <c r="AB406" s="3"/>
      <c r="AE406" s="3"/>
    </row>
    <row r="407" spans="6:31" s="2" customFormat="1" x14ac:dyDescent="0.2">
      <c r="F407" s="1"/>
      <c r="K407" s="49"/>
      <c r="L407" s="49"/>
      <c r="AB407" s="3"/>
      <c r="AE407" s="3"/>
    </row>
    <row r="408" spans="6:31" s="2" customFormat="1" x14ac:dyDescent="0.2">
      <c r="F408" s="1"/>
      <c r="K408" s="49"/>
      <c r="L408" s="49"/>
      <c r="AB408" s="3"/>
      <c r="AE408" s="3"/>
    </row>
    <row r="409" spans="6:31" s="2" customFormat="1" x14ac:dyDescent="0.2">
      <c r="F409" s="1"/>
      <c r="K409" s="49"/>
      <c r="L409" s="49"/>
      <c r="AB409" s="3"/>
      <c r="AE409" s="3"/>
    </row>
    <row r="410" spans="6:31" s="2" customFormat="1" x14ac:dyDescent="0.2">
      <c r="F410" s="1"/>
      <c r="K410" s="49"/>
      <c r="L410" s="49"/>
      <c r="AB410" s="3"/>
      <c r="AE410" s="3"/>
    </row>
    <row r="411" spans="6:31" s="2" customFormat="1" x14ac:dyDescent="0.2">
      <c r="F411" s="1"/>
      <c r="K411" s="49"/>
      <c r="L411" s="49"/>
      <c r="AB411" s="3"/>
      <c r="AE411" s="3"/>
    </row>
    <row r="412" spans="6:31" s="2" customFormat="1" x14ac:dyDescent="0.2">
      <c r="F412" s="1"/>
      <c r="K412" s="49"/>
      <c r="L412" s="49"/>
      <c r="AB412" s="3"/>
      <c r="AE412" s="3"/>
    </row>
    <row r="413" spans="6:31" s="2" customFormat="1" x14ac:dyDescent="0.2">
      <c r="F413" s="1"/>
      <c r="K413" s="49"/>
      <c r="L413" s="49"/>
      <c r="AB413" s="3"/>
      <c r="AE413" s="3"/>
    </row>
    <row r="414" spans="6:31" s="2" customFormat="1" x14ac:dyDescent="0.2">
      <c r="F414" s="1"/>
      <c r="K414" s="49"/>
      <c r="L414" s="49"/>
      <c r="AB414" s="3"/>
      <c r="AE414" s="3"/>
    </row>
    <row r="415" spans="6:31" s="2" customFormat="1" x14ac:dyDescent="0.2">
      <c r="F415" s="1"/>
      <c r="K415" s="49"/>
      <c r="L415" s="49"/>
      <c r="AB415" s="3"/>
      <c r="AE415" s="3"/>
    </row>
    <row r="416" spans="6:31" s="2" customFormat="1" x14ac:dyDescent="0.2">
      <c r="F416" s="1"/>
      <c r="K416" s="49"/>
      <c r="L416" s="49"/>
      <c r="AB416" s="3"/>
      <c r="AE416" s="3"/>
    </row>
    <row r="417" spans="6:31" s="2" customFormat="1" x14ac:dyDescent="0.2">
      <c r="F417" s="1"/>
      <c r="K417" s="49"/>
      <c r="L417" s="49"/>
      <c r="AB417" s="3"/>
      <c r="AE417" s="3"/>
    </row>
    <row r="418" spans="6:31" s="2" customFormat="1" x14ac:dyDescent="0.2">
      <c r="F418" s="1"/>
      <c r="K418" s="49"/>
      <c r="L418" s="49"/>
      <c r="AB418" s="3"/>
      <c r="AE418" s="3"/>
    </row>
    <row r="419" spans="6:31" s="2" customFormat="1" x14ac:dyDescent="0.2">
      <c r="F419" s="1"/>
      <c r="K419" s="49"/>
      <c r="L419" s="49"/>
      <c r="AB419" s="3"/>
      <c r="AE419" s="3"/>
    </row>
    <row r="420" spans="6:31" s="2" customFormat="1" x14ac:dyDescent="0.2">
      <c r="F420" s="1"/>
      <c r="K420" s="49"/>
      <c r="L420" s="49"/>
      <c r="AB420" s="3"/>
      <c r="AE420" s="3"/>
    </row>
    <row r="421" spans="6:31" s="2" customFormat="1" x14ac:dyDescent="0.2">
      <c r="F421" s="1"/>
      <c r="K421" s="49"/>
      <c r="L421" s="49"/>
      <c r="AB421" s="3"/>
      <c r="AE421" s="3"/>
    </row>
    <row r="422" spans="6:31" s="2" customFormat="1" x14ac:dyDescent="0.2">
      <c r="F422" s="1"/>
      <c r="K422" s="49"/>
      <c r="L422" s="49"/>
      <c r="AB422" s="3"/>
      <c r="AE422" s="3"/>
    </row>
    <row r="423" spans="6:31" s="2" customFormat="1" x14ac:dyDescent="0.2">
      <c r="F423" s="1"/>
      <c r="K423" s="49"/>
      <c r="L423" s="49"/>
      <c r="AB423" s="3"/>
      <c r="AE423" s="3"/>
    </row>
    <row r="424" spans="6:31" s="2" customFormat="1" x14ac:dyDescent="0.2">
      <c r="F424" s="1"/>
      <c r="K424" s="49"/>
      <c r="L424" s="49"/>
      <c r="AB424" s="3"/>
      <c r="AE424" s="3"/>
    </row>
    <row r="425" spans="6:31" s="2" customFormat="1" x14ac:dyDescent="0.2">
      <c r="F425" s="1"/>
      <c r="K425" s="49"/>
      <c r="L425" s="49"/>
      <c r="AB425" s="3"/>
      <c r="AE425" s="3"/>
    </row>
    <row r="426" spans="6:31" s="2" customFormat="1" x14ac:dyDescent="0.2">
      <c r="F426" s="1"/>
      <c r="K426" s="49"/>
      <c r="L426" s="49"/>
      <c r="AB426" s="3"/>
      <c r="AE426" s="3"/>
    </row>
    <row r="427" spans="6:31" s="2" customFormat="1" x14ac:dyDescent="0.2">
      <c r="F427" s="1"/>
      <c r="K427" s="49"/>
      <c r="L427" s="49"/>
      <c r="AB427" s="3"/>
      <c r="AE427" s="3"/>
    </row>
    <row r="428" spans="6:31" s="2" customFormat="1" x14ac:dyDescent="0.2">
      <c r="F428" s="1"/>
      <c r="K428" s="49"/>
      <c r="L428" s="49"/>
      <c r="AB428" s="3"/>
      <c r="AE428" s="3"/>
    </row>
    <row r="429" spans="6:31" s="2" customFormat="1" x14ac:dyDescent="0.2">
      <c r="F429" s="1"/>
      <c r="K429" s="49"/>
      <c r="L429" s="49"/>
      <c r="AB429" s="3"/>
      <c r="AE429" s="3"/>
    </row>
    <row r="430" spans="6:31" s="2" customFormat="1" x14ac:dyDescent="0.2">
      <c r="F430" s="1"/>
      <c r="K430" s="49"/>
      <c r="L430" s="49"/>
      <c r="AB430" s="3"/>
      <c r="AE430" s="3"/>
    </row>
    <row r="431" spans="6:31" s="2" customFormat="1" x14ac:dyDescent="0.2">
      <c r="F431" s="1"/>
      <c r="K431" s="49"/>
      <c r="L431" s="49"/>
      <c r="AB431" s="3"/>
      <c r="AE431" s="3"/>
    </row>
    <row r="432" spans="6:31" s="2" customFormat="1" x14ac:dyDescent="0.2">
      <c r="F432" s="1"/>
      <c r="K432" s="49"/>
      <c r="L432" s="49"/>
      <c r="AB432" s="3"/>
      <c r="AE432" s="3"/>
    </row>
    <row r="433" spans="6:31" s="2" customFormat="1" x14ac:dyDescent="0.2">
      <c r="F433" s="1"/>
      <c r="K433" s="49"/>
      <c r="L433" s="49"/>
      <c r="AB433" s="3"/>
      <c r="AE433" s="3"/>
    </row>
    <row r="434" spans="6:31" s="2" customFormat="1" x14ac:dyDescent="0.2">
      <c r="F434" s="1"/>
      <c r="K434" s="49"/>
      <c r="L434" s="49"/>
      <c r="AB434" s="3"/>
      <c r="AE434" s="3"/>
    </row>
    <row r="435" spans="6:31" s="2" customFormat="1" x14ac:dyDescent="0.2">
      <c r="F435" s="1"/>
      <c r="K435" s="49"/>
      <c r="L435" s="49"/>
      <c r="AB435" s="3"/>
      <c r="AE435" s="3"/>
    </row>
  </sheetData>
  <mergeCells count="5">
    <mergeCell ref="AE9:AE10"/>
    <mergeCell ref="F9:F10"/>
    <mergeCell ref="AA9:AA10"/>
    <mergeCell ref="AB9:AB10"/>
    <mergeCell ref="AD9:AD10"/>
  </mergeCells>
  <conditionalFormatting sqref="AC299:AC347 AC381 AC384:AC391 AE1:AE299 AE301 AE303:AE1048576">
    <cfRule type="expression" dxfId="443" priority="55" stopIfTrue="1">
      <formula>($D1&gt;0)</formula>
    </cfRule>
    <cfRule type="expression" dxfId="442" priority="56" stopIfTrue="1">
      <formula>AND($D1&lt;0,$D1&gt;=$AE$2)</formula>
    </cfRule>
    <cfRule type="expression" dxfId="441" priority="57" stopIfTrue="1">
      <formula>($D1&lt;$AE$2)</formula>
    </cfRule>
  </conditionalFormatting>
  <conditionalFormatting sqref="AB1:AB1048576">
    <cfRule type="expression" dxfId="440" priority="52" stopIfTrue="1">
      <formula>($C1&gt;0)</formula>
    </cfRule>
    <cfRule type="expression" dxfId="439" priority="53" stopIfTrue="1">
      <formula>AND($C1&lt;0,$C1&gt;=$AB$2)</formula>
    </cfRule>
    <cfRule type="expression" dxfId="438" priority="54" stopIfTrue="1">
      <formula>($C1&lt;$AB$2)</formula>
    </cfRule>
  </conditionalFormatting>
  <conditionalFormatting sqref="AB9:AB10">
    <cfRule type="expression" dxfId="437" priority="46" stopIfTrue="1">
      <formula>($C9&gt;0)</formula>
    </cfRule>
    <cfRule type="expression" dxfId="436" priority="47" stopIfTrue="1">
      <formula>AND($C9&lt;0,$C9&gt;=$AB$2)</formula>
    </cfRule>
    <cfRule type="expression" dxfId="435" priority="48" stopIfTrue="1">
      <formula>($C9&lt;$AB$2)</formula>
    </cfRule>
  </conditionalFormatting>
  <conditionalFormatting sqref="AE9:AE10">
    <cfRule type="expression" dxfId="434" priority="43" stopIfTrue="1">
      <formula>($D9&gt;0)</formula>
    </cfRule>
    <cfRule type="expression" dxfId="433" priority="44" stopIfTrue="1">
      <formula>AND($D9&lt;0,$D9&gt;=$AE$2)</formula>
    </cfRule>
    <cfRule type="expression" dxfId="432" priority="45" stopIfTrue="1">
      <formula>($D9&lt;$AE$2)</formula>
    </cfRule>
  </conditionalFormatting>
  <conditionalFormatting sqref="AD366">
    <cfRule type="expression" dxfId="431" priority="40" stopIfTrue="1">
      <formula>($D366&gt;0)</formula>
    </cfRule>
    <cfRule type="expression" dxfId="430" priority="41" stopIfTrue="1">
      <formula>AND($D366&lt;0,$D366&gt;=$AE$2)</formula>
    </cfRule>
    <cfRule type="expression" dxfId="429" priority="42" stopIfTrue="1">
      <formula>($D366&lt;$AE$2)</formula>
    </cfRule>
  </conditionalFormatting>
  <conditionalFormatting sqref="AD369">
    <cfRule type="expression" dxfId="428" priority="37" stopIfTrue="1">
      <formula>($D369&gt;0)</formula>
    </cfRule>
    <cfRule type="expression" dxfId="427" priority="38" stopIfTrue="1">
      <formula>AND($D369&lt;0,$D369&gt;=$AE$2)</formula>
    </cfRule>
    <cfRule type="expression" dxfId="426" priority="39" stopIfTrue="1">
      <formula>($D369&lt;$AE$2)</formula>
    </cfRule>
  </conditionalFormatting>
  <conditionalFormatting sqref="AE140">
    <cfRule type="expression" dxfId="425" priority="34" stopIfTrue="1">
      <formula>($D140&gt;0)</formula>
    </cfRule>
    <cfRule type="expression" dxfId="424" priority="35" stopIfTrue="1">
      <formula>AND($D140&lt;0,$D140&gt;=$AE$2)</formula>
    </cfRule>
    <cfRule type="expression" dxfId="423" priority="36" stopIfTrue="1">
      <formula>($D140&lt;$AE$2)</formula>
    </cfRule>
  </conditionalFormatting>
  <conditionalFormatting sqref="AB140">
    <cfRule type="expression" dxfId="422" priority="31" stopIfTrue="1">
      <formula>($C140&gt;0)</formula>
    </cfRule>
    <cfRule type="expression" dxfId="421" priority="32" stopIfTrue="1">
      <formula>AND($C140&lt;0,$C140&gt;=$AB$2)</formula>
    </cfRule>
    <cfRule type="expression" dxfId="420" priority="33" stopIfTrue="1">
      <formula>($C140&lt;$AB$2)</formula>
    </cfRule>
  </conditionalFormatting>
  <conditionalFormatting sqref="AE140">
    <cfRule type="expression" dxfId="419" priority="28" stopIfTrue="1">
      <formula>($D140&gt;0)</formula>
    </cfRule>
    <cfRule type="expression" dxfId="418" priority="29" stopIfTrue="1">
      <formula>AND($D140&lt;0,$D140&gt;=$AE$2)</formula>
    </cfRule>
    <cfRule type="expression" dxfId="417" priority="30" stopIfTrue="1">
      <formula>($D140&lt;$AE$2)</formula>
    </cfRule>
  </conditionalFormatting>
  <conditionalFormatting sqref="AB140">
    <cfRule type="expression" dxfId="416" priority="25" stopIfTrue="1">
      <formula>($C140&gt;0)</formula>
    </cfRule>
    <cfRule type="expression" dxfId="415" priority="26" stopIfTrue="1">
      <formula>AND($C140&lt;0,$C140&gt;=$AB$2)</formula>
    </cfRule>
    <cfRule type="expression" dxfId="414" priority="27" stopIfTrue="1">
      <formula>($C140&lt;$AB$2)</formula>
    </cfRule>
  </conditionalFormatting>
  <conditionalFormatting sqref="AE140">
    <cfRule type="expression" dxfId="413" priority="22" stopIfTrue="1">
      <formula>($D140&gt;0)</formula>
    </cfRule>
    <cfRule type="expression" dxfId="412" priority="23" stopIfTrue="1">
      <formula>AND($D140&lt;0,$D140&gt;=$AE$2)</formula>
    </cfRule>
    <cfRule type="expression" dxfId="411" priority="24" stopIfTrue="1">
      <formula>($D140&lt;$AE$2)</formula>
    </cfRule>
  </conditionalFormatting>
  <conditionalFormatting sqref="AB140">
    <cfRule type="expression" dxfId="410" priority="19" stopIfTrue="1">
      <formula>($C140&gt;0)</formula>
    </cfRule>
    <cfRule type="expression" dxfId="409" priority="20" stopIfTrue="1">
      <formula>AND($C140&lt;0,$C140&gt;=$AB$2)</formula>
    </cfRule>
    <cfRule type="expression" dxfId="408" priority="21" stopIfTrue="1">
      <formula>($C140&lt;$AB$2)</formula>
    </cfRule>
  </conditionalFormatting>
  <conditionalFormatting sqref="AB230">
    <cfRule type="expression" dxfId="407" priority="16" stopIfTrue="1">
      <formula>($C230&gt;0)</formula>
    </cfRule>
    <cfRule type="expression" dxfId="406" priority="17" stopIfTrue="1">
      <formula>AND($C230&lt;0,$C230&gt;=$AB$2)</formula>
    </cfRule>
    <cfRule type="expression" dxfId="405" priority="18" stopIfTrue="1">
      <formula>($C230&lt;$AB$2)</formula>
    </cfRule>
  </conditionalFormatting>
  <conditionalFormatting sqref="AE230">
    <cfRule type="expression" dxfId="404" priority="13" stopIfTrue="1">
      <formula>($D230&gt;0)</formula>
    </cfRule>
    <cfRule type="expression" dxfId="403" priority="14" stopIfTrue="1">
      <formula>AND($D230&lt;0,$D230&gt;=$AE$2)</formula>
    </cfRule>
    <cfRule type="expression" dxfId="402" priority="15" stopIfTrue="1">
      <formula>($D230&lt;$AE$2)</formula>
    </cfRule>
  </conditionalFormatting>
  <conditionalFormatting sqref="AB230">
    <cfRule type="expression" dxfId="401" priority="10" stopIfTrue="1">
      <formula>($C230&gt;0)</formula>
    </cfRule>
    <cfRule type="expression" dxfId="400" priority="11" stopIfTrue="1">
      <formula>AND($C230&lt;0,$C230&gt;=$AB$2)</formula>
    </cfRule>
    <cfRule type="expression" dxfId="399" priority="12" stopIfTrue="1">
      <formula>($C230&lt;$AB$2)</formula>
    </cfRule>
  </conditionalFormatting>
  <conditionalFormatting sqref="AE230">
    <cfRule type="expression" dxfId="398" priority="7" stopIfTrue="1">
      <formula>($D230&gt;0)</formula>
    </cfRule>
    <cfRule type="expression" dxfId="397" priority="8" stopIfTrue="1">
      <formula>AND($D230&lt;0,$D230&gt;=$AE$2)</formula>
    </cfRule>
    <cfRule type="expression" dxfId="396" priority="9" stopIfTrue="1">
      <formula>($D230&lt;$AE$2)</formula>
    </cfRule>
  </conditionalFormatting>
  <conditionalFormatting sqref="AE300">
    <cfRule type="expression" dxfId="395" priority="4" stopIfTrue="1">
      <formula>($D300&gt;0)</formula>
    </cfRule>
    <cfRule type="expression" dxfId="394" priority="5" stopIfTrue="1">
      <formula>AND($D300&lt;0,$D300&gt;=$AE$2)</formula>
    </cfRule>
    <cfRule type="expression" dxfId="393" priority="6" stopIfTrue="1">
      <formula>($D300&lt;$AE$2)</formula>
    </cfRule>
  </conditionalFormatting>
  <conditionalFormatting sqref="AE302">
    <cfRule type="expression" dxfId="392" priority="1" stopIfTrue="1">
      <formula>($D302&gt;0)</formula>
    </cfRule>
    <cfRule type="expression" dxfId="391" priority="2" stopIfTrue="1">
      <formula>AND($D302&lt;0,$D302&gt;=$AE$2)</formula>
    </cfRule>
    <cfRule type="expression" dxfId="390" priority="3" stopIfTrue="1">
      <formula>($D302&lt;$AE$2)</formula>
    </cfRule>
  </conditionalFormatting>
  <printOptions horizontalCentered="1"/>
  <pageMargins left="0" right="0" top="0" bottom="0" header="0.11811023622047245" footer="7.874015748031496E-2"/>
  <pageSetup paperSize="9" scale="44" fitToHeight="2" orientation="portrait" r:id="rId1"/>
  <headerFooter alignWithMargins="0">
    <oddHeader>&amp;CFICHE SUIVEUSE&amp;R&amp;D - &amp;T</oddHeader>
  </headerFooter>
  <rowBreaks count="1" manualBreakCount="1">
    <brk id="201" min="5" max="2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AM435"/>
  <sheetViews>
    <sheetView showGridLines="0" topLeftCell="E7" zoomScale="70" zoomScaleNormal="70" zoomScaleSheetLayoutView="75" workbookViewId="0">
      <pane ySplit="9" topLeftCell="A16" activePane="bottomLeft" state="frozen"/>
      <selection activeCell="W25" sqref="W25"/>
      <selection pane="bottomLeft" activeCell="W16" sqref="W16"/>
    </sheetView>
  </sheetViews>
  <sheetFormatPr baseColWidth="10" defaultRowHeight="14.25" outlineLevelRow="2" outlineLevelCol="1" x14ac:dyDescent="0.2"/>
  <cols>
    <col min="1" max="1" width="24.85546875" style="8" hidden="1" customWidth="1" outlineLevel="1"/>
    <col min="2" max="2" width="30.42578125" style="8" hidden="1" customWidth="1" outlineLevel="1"/>
    <col min="3" max="4" width="12.5703125" style="8" hidden="1" customWidth="1" outlineLevel="1"/>
    <col min="5" max="5" width="2.7109375" style="8" customWidth="1" collapsed="1"/>
    <col min="6" max="6" width="35.28515625" style="7" customWidth="1"/>
    <col min="7" max="7" width="1.140625" style="8" customWidth="1"/>
    <col min="8" max="10" width="10.140625" style="8" customWidth="1"/>
    <col min="11" max="11" width="10.140625" style="9" customWidth="1" outlineLevel="1"/>
    <col min="12" max="12" width="10.5703125" style="9" customWidth="1"/>
    <col min="13" max="24" width="8.7109375" style="8" customWidth="1"/>
    <col min="25" max="25" width="10.140625" style="8" customWidth="1"/>
    <col min="26" max="26" width="1.140625" style="8" customWidth="1"/>
    <col min="27" max="27" width="10.140625" style="8" customWidth="1"/>
    <col min="28" max="28" width="8.7109375" style="11" customWidth="1"/>
    <col min="29" max="29" width="1.140625" style="8" customWidth="1"/>
    <col min="30" max="30" width="10.140625" style="8" customWidth="1" outlineLevel="1"/>
    <col min="31" max="31" width="8.7109375" style="11" customWidth="1" outlineLevel="1"/>
    <col min="32" max="16384" width="11.42578125" style="8"/>
  </cols>
  <sheetData>
    <row r="1" spans="1:31" ht="14.25" hidden="1" customHeight="1" outlineLevel="1" x14ac:dyDescent="0.2">
      <c r="A1" s="7" t="s">
        <v>3</v>
      </c>
      <c r="B1" s="7"/>
      <c r="I1" s="10" t="s">
        <v>15</v>
      </c>
      <c r="M1" s="10" t="s">
        <v>5</v>
      </c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321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15</v>
      </c>
      <c r="AB1" s="53"/>
      <c r="AE1" s="53"/>
    </row>
    <row r="2" spans="1:31" ht="12.75" hidden="1" customHeight="1" outlineLevel="1" x14ac:dyDescent="0.2">
      <c r="A2" s="7" t="s">
        <v>4</v>
      </c>
      <c r="B2" s="7"/>
      <c r="H2" s="12" t="s">
        <v>27</v>
      </c>
      <c r="I2" s="12" t="s">
        <v>28</v>
      </c>
      <c r="J2" s="12" t="s">
        <v>29</v>
      </c>
      <c r="K2" s="13" t="s">
        <v>32</v>
      </c>
      <c r="L2" s="13" t="s">
        <v>33</v>
      </c>
      <c r="M2" s="14" t="b">
        <v>1</v>
      </c>
      <c r="N2" s="14" t="b">
        <v>1</v>
      </c>
      <c r="O2" s="14" t="b">
        <v>1</v>
      </c>
      <c r="P2" s="14" t="b">
        <v>1</v>
      </c>
      <c r="Q2" s="14" t="b">
        <v>1</v>
      </c>
      <c r="R2" s="14" t="b">
        <v>1</v>
      </c>
      <c r="S2" s="14" t="b">
        <v>1</v>
      </c>
      <c r="T2" s="14" t="b">
        <v>1</v>
      </c>
      <c r="U2" s="14" t="b">
        <v>1</v>
      </c>
      <c r="V2" s="14" t="b">
        <v>1</v>
      </c>
      <c r="W2" s="14" t="b">
        <v>1</v>
      </c>
      <c r="X2" s="14" t="b">
        <v>1</v>
      </c>
      <c r="Y2" s="12" t="s">
        <v>33</v>
      </c>
      <c r="AA2" s="128"/>
      <c r="AB2" s="129">
        <v>-0.15</v>
      </c>
      <c r="AD2" s="128"/>
      <c r="AE2" s="129">
        <v>-0.15</v>
      </c>
    </row>
    <row r="3" spans="1:31" ht="14.25" hidden="1" customHeight="1" outlineLevel="1" x14ac:dyDescent="0.15">
      <c r="A3" s="7" t="s">
        <v>412</v>
      </c>
      <c r="B3" s="7"/>
      <c r="H3" s="127" t="s">
        <v>459</v>
      </c>
      <c r="I3" s="127" t="s">
        <v>459</v>
      </c>
      <c r="J3" s="127" t="s">
        <v>459</v>
      </c>
      <c r="K3" s="130" t="s">
        <v>460</v>
      </c>
      <c r="L3" s="130" t="s">
        <v>461</v>
      </c>
      <c r="M3" s="127" t="s">
        <v>459</v>
      </c>
      <c r="N3" s="127" t="s">
        <v>459</v>
      </c>
      <c r="O3" s="127" t="s">
        <v>459</v>
      </c>
      <c r="P3" s="127" t="s">
        <v>459</v>
      </c>
      <c r="Q3" s="127" t="s">
        <v>459</v>
      </c>
      <c r="R3" s="127" t="s">
        <v>459</v>
      </c>
      <c r="S3" s="127" t="s">
        <v>459</v>
      </c>
      <c r="T3" s="127" t="s">
        <v>459</v>
      </c>
      <c r="U3" s="127" t="s">
        <v>459</v>
      </c>
      <c r="V3" s="127" t="s">
        <v>459</v>
      </c>
      <c r="W3" s="127" t="s">
        <v>459</v>
      </c>
      <c r="X3" s="127" t="s">
        <v>459</v>
      </c>
      <c r="Y3" s="127" t="s">
        <v>459</v>
      </c>
      <c r="AB3" s="53"/>
      <c r="AE3" s="53"/>
    </row>
    <row r="4" spans="1:31" ht="14.25" hidden="1" customHeight="1" outlineLevel="1" x14ac:dyDescent="0.15">
      <c r="A4" s="15" t="s">
        <v>462</v>
      </c>
      <c r="B4" s="7"/>
      <c r="H4" s="127" t="s">
        <v>463</v>
      </c>
      <c r="I4" s="127" t="s">
        <v>463</v>
      </c>
      <c r="J4" s="127" t="s">
        <v>463</v>
      </c>
      <c r="K4" s="130" t="s">
        <v>464</v>
      </c>
      <c r="L4" s="130" t="s">
        <v>465</v>
      </c>
      <c r="M4" s="127" t="s">
        <v>463</v>
      </c>
      <c r="N4" s="127" t="s">
        <v>463</v>
      </c>
      <c r="O4" s="127" t="s">
        <v>463</v>
      </c>
      <c r="P4" s="127" t="s">
        <v>463</v>
      </c>
      <c r="Q4" s="127" t="s">
        <v>463</v>
      </c>
      <c r="R4" s="127" t="s">
        <v>463</v>
      </c>
      <c r="S4" s="127" t="s">
        <v>463</v>
      </c>
      <c r="T4" s="127" t="s">
        <v>463</v>
      </c>
      <c r="U4" s="127" t="s">
        <v>463</v>
      </c>
      <c r="V4" s="127" t="s">
        <v>463</v>
      </c>
      <c r="W4" s="127" t="s">
        <v>463</v>
      </c>
      <c r="X4" s="127" t="s">
        <v>463</v>
      </c>
      <c r="Y4" s="127" t="s">
        <v>463</v>
      </c>
      <c r="AA4" s="128"/>
      <c r="AB4" s="131"/>
      <c r="AD4" s="128"/>
      <c r="AE4" s="131"/>
    </row>
    <row r="5" spans="1:31" ht="14.25" hidden="1" customHeight="1" outlineLevel="1" x14ac:dyDescent="0.15">
      <c r="B5" s="7"/>
      <c r="H5" s="127" t="s">
        <v>466</v>
      </c>
      <c r="I5" s="127" t="s">
        <v>467</v>
      </c>
      <c r="J5" s="127" t="s">
        <v>467</v>
      </c>
      <c r="K5" s="130" t="s">
        <v>468</v>
      </c>
      <c r="L5" s="130" t="s">
        <v>469</v>
      </c>
      <c r="M5" s="127" t="s">
        <v>468</v>
      </c>
      <c r="N5" s="127" t="s">
        <v>470</v>
      </c>
      <c r="O5" s="127" t="s">
        <v>471</v>
      </c>
      <c r="P5" s="127" t="s">
        <v>472</v>
      </c>
      <c r="Q5" s="127" t="s">
        <v>473</v>
      </c>
      <c r="R5" s="127" t="s">
        <v>474</v>
      </c>
      <c r="S5" s="127" t="s">
        <v>475</v>
      </c>
      <c r="T5" s="127" t="s">
        <v>476</v>
      </c>
      <c r="U5" s="127" t="s">
        <v>477</v>
      </c>
      <c r="V5" s="127" t="s">
        <v>478</v>
      </c>
      <c r="W5" s="127" t="s">
        <v>479</v>
      </c>
      <c r="X5" s="127" t="s">
        <v>480</v>
      </c>
      <c r="Y5" s="127" t="s">
        <v>480</v>
      </c>
      <c r="AA5" s="128"/>
      <c r="AB5" s="131"/>
      <c r="AD5" s="128"/>
      <c r="AE5" s="131"/>
    </row>
    <row r="6" spans="1:31" ht="14.25" hidden="1" customHeight="1" outlineLevel="1" x14ac:dyDescent="0.2">
      <c r="G6" s="7"/>
      <c r="I6" s="9" t="s">
        <v>491</v>
      </c>
      <c r="J6" s="9" t="s">
        <v>491</v>
      </c>
      <c r="K6" s="9" t="s">
        <v>491</v>
      </c>
      <c r="L6" s="9" t="s">
        <v>491</v>
      </c>
      <c r="AB6" s="53"/>
      <c r="AE6" s="53"/>
    </row>
    <row r="7" spans="1:31" s="16" customFormat="1" ht="15.75" collapsed="1" x14ac:dyDescent="0.2">
      <c r="F7" s="6" t="s">
        <v>384</v>
      </c>
      <c r="K7" s="18"/>
      <c r="L7" s="18"/>
      <c r="M7" s="19"/>
      <c r="AB7" s="20"/>
      <c r="AE7" s="20"/>
    </row>
    <row r="8" spans="1:31" s="21" customFormat="1" ht="7.5" customHeight="1" x14ac:dyDescent="0.2">
      <c r="F8" s="138"/>
      <c r="G8" s="16"/>
      <c r="J8" s="24"/>
      <c r="K8" s="23"/>
      <c r="L8" s="23"/>
      <c r="Z8" s="16"/>
      <c r="AA8" s="24"/>
      <c r="AB8" s="22"/>
      <c r="AD8" s="24"/>
      <c r="AE8" s="22"/>
    </row>
    <row r="9" spans="1:31" ht="12.75" customHeight="1" x14ac:dyDescent="0.2">
      <c r="F9" s="300" t="s">
        <v>423</v>
      </c>
      <c r="G9" s="16"/>
      <c r="H9" s="135" t="s">
        <v>1</v>
      </c>
      <c r="I9" s="26" t="s">
        <v>1</v>
      </c>
      <c r="J9" s="26" t="s">
        <v>1</v>
      </c>
      <c r="K9" s="136" t="s">
        <v>380</v>
      </c>
      <c r="L9" s="136" t="s">
        <v>449</v>
      </c>
      <c r="M9" s="27" t="s">
        <v>1</v>
      </c>
      <c r="N9" s="27" t="s">
        <v>1</v>
      </c>
      <c r="O9" s="27" t="s">
        <v>1</v>
      </c>
      <c r="P9" s="27" t="s">
        <v>1</v>
      </c>
      <c r="Q9" s="27" t="s">
        <v>1</v>
      </c>
      <c r="R9" s="27" t="s">
        <v>1</v>
      </c>
      <c r="S9" s="27" t="s">
        <v>1</v>
      </c>
      <c r="T9" s="27" t="s">
        <v>1</v>
      </c>
      <c r="U9" s="27" t="s">
        <v>1</v>
      </c>
      <c r="V9" s="27" t="s">
        <v>1</v>
      </c>
      <c r="W9" s="27" t="s">
        <v>1</v>
      </c>
      <c r="X9" s="27" t="s">
        <v>1</v>
      </c>
      <c r="Y9" s="139" t="s">
        <v>1</v>
      </c>
      <c r="Z9" s="16"/>
      <c r="AA9" s="296" t="s">
        <v>482</v>
      </c>
      <c r="AB9" s="298" t="s">
        <v>483</v>
      </c>
      <c r="AC9" s="25"/>
      <c r="AD9" s="296" t="s">
        <v>484</v>
      </c>
      <c r="AE9" s="298" t="s">
        <v>485</v>
      </c>
    </row>
    <row r="10" spans="1:31" ht="12.75" customHeight="1" x14ac:dyDescent="0.2">
      <c r="F10" s="300"/>
      <c r="G10" s="16"/>
      <c r="H10" s="28" t="s">
        <v>486</v>
      </c>
      <c r="I10" s="28" t="s">
        <v>487</v>
      </c>
      <c r="J10" s="28" t="s">
        <v>487</v>
      </c>
      <c r="K10" s="137" t="s">
        <v>450</v>
      </c>
      <c r="L10" s="137" t="s">
        <v>450</v>
      </c>
      <c r="M10" s="29" t="s">
        <v>5</v>
      </c>
      <c r="N10" s="29" t="s">
        <v>6</v>
      </c>
      <c r="O10" s="29" t="s">
        <v>7</v>
      </c>
      <c r="P10" s="29" t="s">
        <v>8</v>
      </c>
      <c r="Q10" s="29" t="s">
        <v>9</v>
      </c>
      <c r="R10" s="29" t="s">
        <v>10</v>
      </c>
      <c r="S10" s="29" t="s">
        <v>321</v>
      </c>
      <c r="T10" s="29" t="s">
        <v>11</v>
      </c>
      <c r="U10" s="29" t="s">
        <v>12</v>
      </c>
      <c r="V10" s="29" t="s">
        <v>13</v>
      </c>
      <c r="W10" s="29" t="s">
        <v>14</v>
      </c>
      <c r="X10" s="29" t="s">
        <v>15</v>
      </c>
      <c r="Y10" s="140" t="s">
        <v>488</v>
      </c>
      <c r="Z10" s="16"/>
      <c r="AA10" s="297"/>
      <c r="AB10" s="299"/>
      <c r="AC10" s="25"/>
      <c r="AD10" s="297"/>
      <c r="AE10" s="299"/>
    </row>
    <row r="11" spans="1:31" ht="18" hidden="1" customHeight="1" outlineLevel="1" x14ac:dyDescent="0.2">
      <c r="A11" s="30" t="s">
        <v>2</v>
      </c>
      <c r="B11" s="30" t="s">
        <v>230</v>
      </c>
      <c r="C11" s="4">
        <v>-0.5132169306448997</v>
      </c>
      <c r="D11" s="4">
        <v>-0.15436909613326072</v>
      </c>
      <c r="F11" s="94" t="s">
        <v>280</v>
      </c>
      <c r="G11" s="16"/>
      <c r="H11" s="59">
        <v>23.832999999999998</v>
      </c>
      <c r="I11" s="59">
        <v>34.822000000000003</v>
      </c>
      <c r="J11" s="59">
        <v>34.822000000000003</v>
      </c>
      <c r="K11" s="86">
        <v>92.495000000000005</v>
      </c>
      <c r="L11" s="86">
        <v>53.249000000000002</v>
      </c>
      <c r="M11" s="59">
        <v>-2.0630000000000002</v>
      </c>
      <c r="N11" s="59">
        <v>8.9009999999999998</v>
      </c>
      <c r="O11" s="59">
        <v>3.6150000000000002</v>
      </c>
      <c r="P11" s="59">
        <v>3.9860000000000007</v>
      </c>
      <c r="Q11" s="59">
        <v>3.8629999999999995</v>
      </c>
      <c r="R11" s="59">
        <v>3.6260000000000012</v>
      </c>
      <c r="S11" s="59">
        <v>5.0799999999999983</v>
      </c>
      <c r="T11" s="59">
        <v>4.1550000000000011</v>
      </c>
      <c r="U11" s="59">
        <v>3.8309999999999995</v>
      </c>
      <c r="V11" s="59">
        <v>4.5930000000000035</v>
      </c>
      <c r="W11" s="59">
        <v>4.215999999999994</v>
      </c>
      <c r="X11" s="59">
        <v>1.2250000000000014</v>
      </c>
      <c r="Y11" s="59">
        <v>45.027999999999999</v>
      </c>
      <c r="Z11" s="16"/>
      <c r="AA11" s="59">
        <v>92.495000000000005</v>
      </c>
      <c r="AB11" s="60">
        <v>-47.47</v>
      </c>
      <c r="AC11" s="31"/>
      <c r="AD11" s="59">
        <v>53.249000000000002</v>
      </c>
      <c r="AE11" s="60">
        <v>-8.2200000000000006</v>
      </c>
    </row>
    <row r="12" spans="1:31" ht="18" hidden="1" customHeight="1" outlineLevel="1" x14ac:dyDescent="0.2">
      <c r="A12" s="30" t="s">
        <v>2</v>
      </c>
      <c r="B12" s="30" t="s">
        <v>233</v>
      </c>
      <c r="C12" s="4">
        <v>1.2740409427146052E-2</v>
      </c>
      <c r="D12" s="4">
        <v>2.1590843622041889E-2</v>
      </c>
      <c r="F12" s="94" t="s">
        <v>281</v>
      </c>
      <c r="G12" s="16"/>
      <c r="H12" s="59">
        <v>2645.866</v>
      </c>
      <c r="I12" s="59">
        <v>2907.616</v>
      </c>
      <c r="J12" s="59">
        <v>2907.616</v>
      </c>
      <c r="K12" s="86">
        <v>2906.5</v>
      </c>
      <c r="L12" s="86">
        <v>2881.3139999999999</v>
      </c>
      <c r="M12" s="59">
        <v>214.72300000000001</v>
      </c>
      <c r="N12" s="59">
        <v>187.21699999999998</v>
      </c>
      <c r="O12" s="59">
        <v>213.47099999999995</v>
      </c>
      <c r="P12" s="59">
        <v>276.29900000000009</v>
      </c>
      <c r="Q12" s="59">
        <v>260.07799999999997</v>
      </c>
      <c r="R12" s="59">
        <v>252.67399999999998</v>
      </c>
      <c r="S12" s="59">
        <v>246.10799999999995</v>
      </c>
      <c r="T12" s="59">
        <v>248.99900000000002</v>
      </c>
      <c r="U12" s="59">
        <v>263.9369999999999</v>
      </c>
      <c r="V12" s="59">
        <v>275.89600000000019</v>
      </c>
      <c r="W12" s="59">
        <v>239.24199999999973</v>
      </c>
      <c r="X12" s="59">
        <v>264.88100000000031</v>
      </c>
      <c r="Y12" s="59">
        <v>2943.5250000000001</v>
      </c>
      <c r="Z12" s="16"/>
      <c r="AA12" s="59">
        <v>2906.5</v>
      </c>
      <c r="AB12" s="60">
        <v>37.03</v>
      </c>
      <c r="AC12" s="31"/>
      <c r="AD12" s="59">
        <v>2881.3139999999999</v>
      </c>
      <c r="AE12" s="60">
        <v>62.21</v>
      </c>
    </row>
    <row r="13" spans="1:31" ht="18" hidden="1" customHeight="1" outlineLevel="1" x14ac:dyDescent="0.2">
      <c r="A13" s="30" t="s">
        <v>2</v>
      </c>
      <c r="B13" s="30" t="s">
        <v>229</v>
      </c>
      <c r="C13" s="4">
        <v>0</v>
      </c>
      <c r="D13" s="4">
        <v>0</v>
      </c>
      <c r="F13" s="94" t="s">
        <v>282</v>
      </c>
      <c r="G13" s="16"/>
      <c r="H13" s="59">
        <v>0</v>
      </c>
      <c r="I13" s="59">
        <v>0</v>
      </c>
      <c r="J13" s="59">
        <v>0</v>
      </c>
      <c r="K13" s="86">
        <v>0</v>
      </c>
      <c r="L13" s="86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16"/>
      <c r="AA13" s="59">
        <v>0</v>
      </c>
      <c r="AB13" s="60">
        <v>0</v>
      </c>
      <c r="AC13" s="31"/>
      <c r="AD13" s="59">
        <v>0</v>
      </c>
      <c r="AE13" s="60">
        <v>0</v>
      </c>
    </row>
    <row r="14" spans="1:31" ht="18" hidden="1" customHeight="1" outlineLevel="1" x14ac:dyDescent="0.2">
      <c r="A14" s="30" t="s">
        <v>2</v>
      </c>
      <c r="B14" s="30" t="s">
        <v>232</v>
      </c>
      <c r="C14" s="4">
        <v>0.15102411409849203</v>
      </c>
      <c r="D14" s="4">
        <v>-2.976103475106154E-3</v>
      </c>
      <c r="F14" s="94" t="s">
        <v>283</v>
      </c>
      <c r="G14" s="16"/>
      <c r="H14" s="59">
        <v>2272.723</v>
      </c>
      <c r="I14" s="59">
        <v>2537.8809999999999</v>
      </c>
      <c r="J14" s="59">
        <v>2537.8809999999999</v>
      </c>
      <c r="K14" s="86">
        <v>2785.3829999999998</v>
      </c>
      <c r="L14" s="86">
        <v>3215.614</v>
      </c>
      <c r="M14" s="59">
        <v>214.36500000000001</v>
      </c>
      <c r="N14" s="59">
        <v>265.63</v>
      </c>
      <c r="O14" s="59">
        <v>272.63</v>
      </c>
      <c r="P14" s="59">
        <v>240.54200000000003</v>
      </c>
      <c r="Q14" s="59">
        <v>320.67700000000002</v>
      </c>
      <c r="R14" s="59">
        <v>269.46000000000004</v>
      </c>
      <c r="S14" s="59">
        <v>269.3929999999998</v>
      </c>
      <c r="T14" s="59">
        <v>270.51</v>
      </c>
      <c r="U14" s="59">
        <v>268.49400000000014</v>
      </c>
      <c r="V14" s="59">
        <v>275.07099999999991</v>
      </c>
      <c r="W14" s="59">
        <v>272.36900000000014</v>
      </c>
      <c r="X14" s="59">
        <v>266.904</v>
      </c>
      <c r="Y14" s="59">
        <v>3206.0450000000001</v>
      </c>
      <c r="Z14" s="16"/>
      <c r="AA14" s="59">
        <v>2785.3829999999998</v>
      </c>
      <c r="AB14" s="60">
        <v>420.66</v>
      </c>
      <c r="AC14" s="31"/>
      <c r="AD14" s="59">
        <v>3215.614</v>
      </c>
      <c r="AE14" s="60">
        <v>-9.57</v>
      </c>
    </row>
    <row r="15" spans="1:31" ht="18" hidden="1" customHeight="1" outlineLevel="1" x14ac:dyDescent="0.2">
      <c r="A15" s="30" t="s">
        <v>2</v>
      </c>
      <c r="B15" s="30" t="s">
        <v>231</v>
      </c>
      <c r="C15" s="4">
        <v>0</v>
      </c>
      <c r="D15" s="4">
        <v>0</v>
      </c>
      <c r="F15" s="94" t="s">
        <v>284</v>
      </c>
      <c r="G15" s="16"/>
      <c r="H15" s="59">
        <v>0</v>
      </c>
      <c r="I15" s="59">
        <v>0</v>
      </c>
      <c r="J15" s="59">
        <v>0</v>
      </c>
      <c r="K15" s="86">
        <v>0</v>
      </c>
      <c r="L15" s="86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16"/>
      <c r="AA15" s="59">
        <v>0</v>
      </c>
      <c r="AB15" s="60">
        <v>0</v>
      </c>
      <c r="AC15" s="31"/>
      <c r="AD15" s="59">
        <v>0</v>
      </c>
      <c r="AE15" s="60">
        <v>0</v>
      </c>
    </row>
    <row r="16" spans="1:31" ht="18" customHeight="1" collapsed="1" x14ac:dyDescent="0.2">
      <c r="A16" s="30" t="s">
        <v>2</v>
      </c>
      <c r="B16" s="30" t="s">
        <v>203</v>
      </c>
      <c r="C16" s="4">
        <v>7.0918601792621438E-2</v>
      </c>
      <c r="D16" s="4">
        <v>7.222556358947068E-3</v>
      </c>
      <c r="E16" s="9"/>
      <c r="F16" s="51" t="s">
        <v>285</v>
      </c>
      <c r="G16" s="16"/>
      <c r="H16" s="61">
        <v>4942.4219999999996</v>
      </c>
      <c r="I16" s="61">
        <v>5480.3190000000004</v>
      </c>
      <c r="J16" s="61">
        <v>5480.3190000000004</v>
      </c>
      <c r="K16" s="86">
        <v>5784.3779999999997</v>
      </c>
      <c r="L16" s="86">
        <v>6150.1769999999997</v>
      </c>
      <c r="M16" s="61">
        <v>427.02499999999998</v>
      </c>
      <c r="N16" s="61">
        <v>461.74800000000005</v>
      </c>
      <c r="O16" s="61">
        <v>489.71600000000001</v>
      </c>
      <c r="P16" s="61">
        <v>520.827</v>
      </c>
      <c r="Q16" s="61">
        <v>584.61800000000017</v>
      </c>
      <c r="R16" s="61">
        <v>525.75999999999976</v>
      </c>
      <c r="S16" s="61">
        <v>520.58100000000013</v>
      </c>
      <c r="T16" s="61">
        <v>523.66399999999976</v>
      </c>
      <c r="U16" s="61">
        <v>536.26200000000017</v>
      </c>
      <c r="V16" s="61">
        <v>555.5600000000004</v>
      </c>
      <c r="W16" s="61">
        <v>515.82699999999932</v>
      </c>
      <c r="X16" s="61">
        <v>533.01000000000022</v>
      </c>
      <c r="Y16" s="61">
        <v>6194.598</v>
      </c>
      <c r="Z16" s="16"/>
      <c r="AA16" s="61">
        <v>5784.3779999999997</v>
      </c>
      <c r="AB16" s="60">
        <v>410.22</v>
      </c>
      <c r="AD16" s="61">
        <v>6150.1769999999997</v>
      </c>
      <c r="AE16" s="60">
        <v>44.42</v>
      </c>
    </row>
    <row r="17" spans="1:33" ht="18" customHeight="1" x14ac:dyDescent="0.2">
      <c r="A17" s="30" t="s">
        <v>2</v>
      </c>
      <c r="B17" s="30" t="s">
        <v>31</v>
      </c>
      <c r="C17" s="4">
        <v>0</v>
      </c>
      <c r="D17" s="4">
        <v>0</v>
      </c>
      <c r="F17" s="51" t="s">
        <v>286</v>
      </c>
      <c r="G17" s="16"/>
      <c r="H17" s="61">
        <v>0</v>
      </c>
      <c r="I17" s="61">
        <v>0</v>
      </c>
      <c r="J17" s="61">
        <v>0</v>
      </c>
      <c r="K17" s="86">
        <v>0</v>
      </c>
      <c r="L17" s="86">
        <v>0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61">
        <v>0</v>
      </c>
      <c r="W17" s="61">
        <v>0</v>
      </c>
      <c r="X17" s="61">
        <v>0</v>
      </c>
      <c r="Y17" s="61">
        <v>0</v>
      </c>
      <c r="Z17" s="16"/>
      <c r="AA17" s="61">
        <v>0</v>
      </c>
      <c r="AB17" s="60">
        <v>0</v>
      </c>
      <c r="AD17" s="61">
        <v>0</v>
      </c>
      <c r="AE17" s="60">
        <v>0</v>
      </c>
    </row>
    <row r="18" spans="1:33" s="7" customFormat="1" ht="18" customHeight="1" x14ac:dyDescent="0.2">
      <c r="A18" s="32"/>
      <c r="B18" s="32"/>
      <c r="C18" s="4">
        <v>7.0918601792621438E-2</v>
      </c>
      <c r="D18" s="4">
        <v>7.222556358947068E-3</v>
      </c>
      <c r="E18" s="8"/>
      <c r="F18" s="45" t="s">
        <v>217</v>
      </c>
      <c r="G18" s="16"/>
      <c r="H18" s="62">
        <v>4942.4219999999996</v>
      </c>
      <c r="I18" s="62">
        <v>5480.3190000000004</v>
      </c>
      <c r="J18" s="62">
        <v>5480.3190000000004</v>
      </c>
      <c r="K18" s="108">
        <v>5784.3779999999997</v>
      </c>
      <c r="L18" s="108">
        <v>6150.1769999999997</v>
      </c>
      <c r="M18" s="62">
        <v>427.02499999999998</v>
      </c>
      <c r="N18" s="62">
        <v>461.74800000000005</v>
      </c>
      <c r="O18" s="62">
        <v>489.71600000000001</v>
      </c>
      <c r="P18" s="62">
        <v>520.827</v>
      </c>
      <c r="Q18" s="62">
        <v>584.61800000000017</v>
      </c>
      <c r="R18" s="62">
        <v>525.75999999999976</v>
      </c>
      <c r="S18" s="62">
        <v>520.58100000000013</v>
      </c>
      <c r="T18" s="62">
        <v>523.66399999999976</v>
      </c>
      <c r="U18" s="62">
        <v>536.26200000000017</v>
      </c>
      <c r="V18" s="62">
        <v>555.5600000000004</v>
      </c>
      <c r="W18" s="62">
        <v>515.82699999999932</v>
      </c>
      <c r="X18" s="62">
        <v>533.01000000000022</v>
      </c>
      <c r="Y18" s="62">
        <v>6194.598</v>
      </c>
      <c r="Z18" s="16"/>
      <c r="AA18" s="62">
        <v>5784.3779999999997</v>
      </c>
      <c r="AB18" s="60">
        <v>410.22</v>
      </c>
      <c r="AD18" s="62">
        <v>6150.1769999999997</v>
      </c>
      <c r="AE18" s="60">
        <v>44.42</v>
      </c>
    </row>
    <row r="19" spans="1:33" ht="8.25" customHeight="1" x14ac:dyDescent="0.2">
      <c r="A19" s="116"/>
      <c r="F19" s="8"/>
      <c r="G19" s="16"/>
      <c r="K19" s="8"/>
      <c r="L19" s="8"/>
      <c r="Z19" s="16"/>
      <c r="AB19" s="8"/>
      <c r="AE19" s="8"/>
    </row>
    <row r="20" spans="1:33" s="7" customFormat="1" ht="18" customHeight="1" x14ac:dyDescent="0.2">
      <c r="A20" s="117" t="s">
        <v>310</v>
      </c>
      <c r="B20" s="117" t="s">
        <v>203</v>
      </c>
      <c r="C20" s="5">
        <v>-0.20354166666666668</v>
      </c>
      <c r="D20" s="5">
        <v>-2.8050847457627121E-2</v>
      </c>
      <c r="F20" s="118" t="s">
        <v>326</v>
      </c>
      <c r="G20" s="16"/>
      <c r="H20" s="120">
        <v>685.92600000000004</v>
      </c>
      <c r="I20" s="120">
        <v>558.22799999999995</v>
      </c>
      <c r="J20" s="120">
        <v>558.22799999999995</v>
      </c>
      <c r="K20" s="121">
        <v>720</v>
      </c>
      <c r="L20" s="121">
        <v>590</v>
      </c>
      <c r="M20" s="120">
        <v>41.911000000000001</v>
      </c>
      <c r="N20" s="120">
        <v>38.903999999999996</v>
      </c>
      <c r="O20" s="120">
        <v>27.519999999999996</v>
      </c>
      <c r="P20" s="120">
        <v>60.620999999999995</v>
      </c>
      <c r="Q20" s="120">
        <v>34.898000000000025</v>
      </c>
      <c r="R20" s="120">
        <v>49.184999999999974</v>
      </c>
      <c r="S20" s="120">
        <v>35.581000000000017</v>
      </c>
      <c r="T20" s="120">
        <v>29.99799999999999</v>
      </c>
      <c r="U20" s="120">
        <v>41.78000000000003</v>
      </c>
      <c r="V20" s="120">
        <v>77.625999999999976</v>
      </c>
      <c r="W20" s="120">
        <v>64.627999999999986</v>
      </c>
      <c r="X20" s="120">
        <v>70.803000000000054</v>
      </c>
      <c r="Y20" s="120">
        <v>573.45500000000004</v>
      </c>
      <c r="Z20" s="16"/>
      <c r="AA20" s="120">
        <v>720</v>
      </c>
      <c r="AB20" s="60">
        <v>-146.55000000000001</v>
      </c>
      <c r="AD20" s="120">
        <v>590</v>
      </c>
      <c r="AE20" s="60">
        <v>-16.55</v>
      </c>
    </row>
    <row r="21" spans="1:33" ht="8.25" customHeight="1" x14ac:dyDescent="0.2">
      <c r="A21" s="116"/>
      <c r="F21" s="8"/>
      <c r="G21" s="16"/>
      <c r="K21" s="8"/>
      <c r="L21" s="8"/>
      <c r="Z21" s="16"/>
      <c r="AB21" s="8"/>
      <c r="AE21" s="8"/>
    </row>
    <row r="22" spans="1:33" ht="18" customHeight="1" x14ac:dyDescent="0.2">
      <c r="A22" s="30" t="s">
        <v>310</v>
      </c>
      <c r="B22" s="30" t="s">
        <v>115</v>
      </c>
      <c r="C22" s="4">
        <v>0</v>
      </c>
      <c r="D22" s="4">
        <v>0</v>
      </c>
      <c r="F22" s="51" t="s">
        <v>327</v>
      </c>
      <c r="G22" s="16"/>
      <c r="H22" s="61">
        <v>0</v>
      </c>
      <c r="I22" s="61">
        <v>0</v>
      </c>
      <c r="J22" s="61">
        <v>0</v>
      </c>
      <c r="K22" s="86">
        <v>0</v>
      </c>
      <c r="L22" s="86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16"/>
      <c r="AA22" s="61">
        <v>0</v>
      </c>
      <c r="AB22" s="60">
        <v>0</v>
      </c>
      <c r="AC22" s="34"/>
      <c r="AD22" s="61">
        <v>0</v>
      </c>
      <c r="AE22" s="60">
        <v>0</v>
      </c>
    </row>
    <row r="23" spans="1:33" ht="18" customHeight="1" x14ac:dyDescent="0.2">
      <c r="A23" s="30" t="s">
        <v>310</v>
      </c>
      <c r="B23" s="30" t="s">
        <v>116</v>
      </c>
      <c r="C23" s="4">
        <v>0</v>
      </c>
      <c r="D23" s="4">
        <v>0</v>
      </c>
      <c r="F23" s="51" t="s">
        <v>328</v>
      </c>
      <c r="G23" s="16"/>
      <c r="H23" s="61">
        <v>0</v>
      </c>
      <c r="I23" s="61">
        <v>0</v>
      </c>
      <c r="J23" s="61">
        <v>0</v>
      </c>
      <c r="K23" s="86">
        <v>0</v>
      </c>
      <c r="L23" s="86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16"/>
      <c r="AA23" s="61">
        <v>0</v>
      </c>
      <c r="AB23" s="60">
        <v>0</v>
      </c>
      <c r="AC23" s="34"/>
      <c r="AD23" s="61">
        <v>0</v>
      </c>
      <c r="AE23" s="60">
        <v>0</v>
      </c>
    </row>
    <row r="24" spans="1:33" ht="18" hidden="1" customHeight="1" outlineLevel="1" x14ac:dyDescent="0.2">
      <c r="A24" s="46" t="s">
        <v>298</v>
      </c>
      <c r="B24" s="46" t="s">
        <v>117</v>
      </c>
      <c r="C24" s="47">
        <v>0</v>
      </c>
      <c r="D24" s="47">
        <v>0</v>
      </c>
      <c r="E24" s="31"/>
      <c r="F24" s="94" t="s">
        <v>329</v>
      </c>
      <c r="G24" s="16"/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0</v>
      </c>
      <c r="X24" s="59">
        <v>0</v>
      </c>
      <c r="Y24" s="59">
        <v>0</v>
      </c>
      <c r="Z24" s="16"/>
      <c r="AA24" s="59">
        <v>0</v>
      </c>
      <c r="AB24" s="63">
        <v>0</v>
      </c>
      <c r="AC24" s="31"/>
      <c r="AD24" s="59">
        <v>0</v>
      </c>
      <c r="AE24" s="63">
        <v>0</v>
      </c>
    </row>
    <row r="25" spans="1:33" ht="18" customHeight="1" collapsed="1" x14ac:dyDescent="0.2">
      <c r="A25" s="32"/>
      <c r="B25" s="32"/>
      <c r="C25" s="4">
        <v>0</v>
      </c>
      <c r="D25" s="4">
        <v>0</v>
      </c>
      <c r="F25" s="51" t="s">
        <v>372</v>
      </c>
      <c r="G25" s="16"/>
      <c r="H25" s="61">
        <v>0</v>
      </c>
      <c r="I25" s="61">
        <v>0</v>
      </c>
      <c r="J25" s="61">
        <v>0</v>
      </c>
      <c r="K25" s="86">
        <v>0</v>
      </c>
      <c r="L25" s="86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16"/>
      <c r="AA25" s="61">
        <v>0</v>
      </c>
      <c r="AB25" s="60">
        <v>0</v>
      </c>
      <c r="AC25" s="34"/>
      <c r="AD25" s="61">
        <v>0</v>
      </c>
      <c r="AE25" s="60">
        <v>0</v>
      </c>
      <c r="AG25" s="48"/>
    </row>
    <row r="26" spans="1:33" ht="18" customHeight="1" x14ac:dyDescent="0.2">
      <c r="A26" s="30" t="s">
        <v>310</v>
      </c>
      <c r="B26" s="30" t="s">
        <v>330</v>
      </c>
      <c r="C26" s="4">
        <v>0</v>
      </c>
      <c r="D26" s="4">
        <v>0</v>
      </c>
      <c r="F26" s="51" t="s">
        <v>331</v>
      </c>
      <c r="G26" s="16"/>
      <c r="H26" s="61">
        <v>0</v>
      </c>
      <c r="I26" s="61">
        <v>0</v>
      </c>
      <c r="J26" s="61">
        <v>0</v>
      </c>
      <c r="K26" s="86">
        <v>0</v>
      </c>
      <c r="L26" s="86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16"/>
      <c r="AA26" s="61">
        <v>0</v>
      </c>
      <c r="AB26" s="60">
        <v>0</v>
      </c>
      <c r="AC26" s="34"/>
      <c r="AD26" s="61">
        <v>0</v>
      </c>
      <c r="AE26" s="60">
        <v>0</v>
      </c>
    </row>
    <row r="27" spans="1:33" ht="18" customHeight="1" x14ac:dyDescent="0.2">
      <c r="A27" s="30" t="s">
        <v>310</v>
      </c>
      <c r="B27" s="30" t="s">
        <v>332</v>
      </c>
      <c r="C27" s="4">
        <v>0</v>
      </c>
      <c r="D27" s="4">
        <v>0</v>
      </c>
      <c r="F27" s="51" t="s">
        <v>333</v>
      </c>
      <c r="G27" s="16"/>
      <c r="H27" s="61">
        <v>0</v>
      </c>
      <c r="I27" s="61">
        <v>0</v>
      </c>
      <c r="J27" s="61">
        <v>0</v>
      </c>
      <c r="K27" s="86">
        <v>0</v>
      </c>
      <c r="L27" s="86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16"/>
      <c r="AA27" s="61">
        <v>0</v>
      </c>
      <c r="AB27" s="60">
        <v>0</v>
      </c>
      <c r="AC27" s="34"/>
      <c r="AD27" s="61">
        <v>0</v>
      </c>
      <c r="AE27" s="60">
        <v>0</v>
      </c>
    </row>
    <row r="28" spans="1:33" ht="18" customHeight="1" x14ac:dyDescent="0.2">
      <c r="A28" s="30" t="s">
        <v>310</v>
      </c>
      <c r="B28" s="30" t="s">
        <v>335</v>
      </c>
      <c r="C28" s="4">
        <v>0</v>
      </c>
      <c r="D28" s="4">
        <v>0</v>
      </c>
      <c r="F28" s="51" t="s">
        <v>336</v>
      </c>
      <c r="G28" s="16"/>
      <c r="H28" s="61">
        <v>0</v>
      </c>
      <c r="I28" s="61">
        <v>0</v>
      </c>
      <c r="J28" s="61">
        <v>0</v>
      </c>
      <c r="K28" s="86">
        <v>0</v>
      </c>
      <c r="L28" s="86">
        <v>0</v>
      </c>
      <c r="M28" s="61">
        <v>0</v>
      </c>
      <c r="N28" s="61">
        <v>0</v>
      </c>
      <c r="O28" s="61">
        <v>0</v>
      </c>
      <c r="P28" s="61">
        <v>0</v>
      </c>
      <c r="Q28" s="61">
        <v>0</v>
      </c>
      <c r="R28" s="61">
        <v>0</v>
      </c>
      <c r="S28" s="61">
        <v>0</v>
      </c>
      <c r="T28" s="61">
        <v>0</v>
      </c>
      <c r="U28" s="61">
        <v>0</v>
      </c>
      <c r="V28" s="61">
        <v>0</v>
      </c>
      <c r="W28" s="61">
        <v>0</v>
      </c>
      <c r="X28" s="61">
        <v>0</v>
      </c>
      <c r="Y28" s="61">
        <v>0</v>
      </c>
      <c r="Z28" s="16"/>
      <c r="AA28" s="61">
        <v>0</v>
      </c>
      <c r="AB28" s="60">
        <v>0</v>
      </c>
      <c r="AC28" s="34"/>
      <c r="AD28" s="61">
        <v>0</v>
      </c>
      <c r="AE28" s="60">
        <v>0</v>
      </c>
    </row>
    <row r="29" spans="1:33" ht="18" customHeight="1" x14ac:dyDescent="0.2">
      <c r="A29" s="30" t="s">
        <v>310</v>
      </c>
      <c r="B29" s="30" t="s">
        <v>337</v>
      </c>
      <c r="C29" s="4">
        <v>0</v>
      </c>
      <c r="D29" s="4">
        <v>0</v>
      </c>
      <c r="F29" s="51" t="s">
        <v>338</v>
      </c>
      <c r="G29" s="16"/>
      <c r="H29" s="61">
        <v>0</v>
      </c>
      <c r="I29" s="61">
        <v>0</v>
      </c>
      <c r="J29" s="61">
        <v>0</v>
      </c>
      <c r="K29" s="86">
        <v>0</v>
      </c>
      <c r="L29" s="86">
        <v>0</v>
      </c>
      <c r="M29" s="61">
        <v>0</v>
      </c>
      <c r="N29" s="61">
        <v>0</v>
      </c>
      <c r="O29" s="61">
        <v>0</v>
      </c>
      <c r="P29" s="61">
        <v>0</v>
      </c>
      <c r="Q29" s="61">
        <v>0</v>
      </c>
      <c r="R29" s="61">
        <v>0</v>
      </c>
      <c r="S29" s="61">
        <v>0</v>
      </c>
      <c r="T29" s="61">
        <v>0</v>
      </c>
      <c r="U29" s="61">
        <v>0</v>
      </c>
      <c r="V29" s="61">
        <v>0</v>
      </c>
      <c r="W29" s="61">
        <v>0</v>
      </c>
      <c r="X29" s="61">
        <v>0</v>
      </c>
      <c r="Y29" s="61">
        <v>0</v>
      </c>
      <c r="Z29" s="16"/>
      <c r="AA29" s="61">
        <v>0</v>
      </c>
      <c r="AB29" s="60">
        <v>0</v>
      </c>
      <c r="AC29" s="34"/>
      <c r="AD29" s="61">
        <v>0</v>
      </c>
      <c r="AE29" s="60">
        <v>0</v>
      </c>
    </row>
    <row r="30" spans="1:33" ht="18" customHeight="1" x14ac:dyDescent="0.2">
      <c r="A30" s="30" t="s">
        <v>310</v>
      </c>
      <c r="B30" s="30" t="s">
        <v>458</v>
      </c>
      <c r="C30" s="4">
        <v>0</v>
      </c>
      <c r="D30" s="4">
        <v>0</v>
      </c>
      <c r="F30" s="213" t="s">
        <v>443</v>
      </c>
      <c r="G30" s="16"/>
      <c r="H30" s="61">
        <v>0</v>
      </c>
      <c r="I30" s="61">
        <v>0</v>
      </c>
      <c r="J30" s="61">
        <v>0</v>
      </c>
      <c r="K30" s="86">
        <v>0</v>
      </c>
      <c r="L30" s="86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16"/>
      <c r="AA30" s="61">
        <v>0</v>
      </c>
      <c r="AB30" s="60">
        <v>0</v>
      </c>
      <c r="AC30" s="34"/>
      <c r="AD30" s="61">
        <v>0</v>
      </c>
      <c r="AE30" s="60">
        <v>0</v>
      </c>
    </row>
    <row r="31" spans="1:33" ht="18" customHeight="1" x14ac:dyDescent="0.2">
      <c r="A31" s="30" t="s">
        <v>310</v>
      </c>
      <c r="B31" s="30" t="s">
        <v>341</v>
      </c>
      <c r="C31" s="4">
        <v>0</v>
      </c>
      <c r="D31" s="4">
        <v>0</v>
      </c>
      <c r="F31" s="51" t="s">
        <v>342</v>
      </c>
      <c r="G31" s="16"/>
      <c r="H31" s="61">
        <v>0</v>
      </c>
      <c r="I31" s="61">
        <v>0</v>
      </c>
      <c r="J31" s="61">
        <v>0</v>
      </c>
      <c r="K31" s="86">
        <v>0</v>
      </c>
      <c r="L31" s="86">
        <v>0</v>
      </c>
      <c r="M31" s="61">
        <v>0</v>
      </c>
      <c r="N31" s="61">
        <v>0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16"/>
      <c r="AA31" s="61">
        <v>0</v>
      </c>
      <c r="AB31" s="60">
        <v>0</v>
      </c>
      <c r="AC31" s="34"/>
      <c r="AD31" s="61">
        <v>0</v>
      </c>
      <c r="AE31" s="60">
        <v>0</v>
      </c>
    </row>
    <row r="32" spans="1:33" ht="18" customHeight="1" x14ac:dyDescent="0.2">
      <c r="A32" s="32"/>
      <c r="B32" s="32"/>
      <c r="C32" s="4">
        <v>0</v>
      </c>
      <c r="D32" s="4">
        <v>0</v>
      </c>
      <c r="F32" s="51" t="s">
        <v>343</v>
      </c>
      <c r="G32" s="16"/>
      <c r="H32" s="61">
        <v>-5.2402526762307389E-14</v>
      </c>
      <c r="I32" s="61">
        <v>6.3948846218409017E-14</v>
      </c>
      <c r="J32" s="61">
        <v>6.3948846218409017E-14</v>
      </c>
      <c r="K32" s="86">
        <v>0</v>
      </c>
      <c r="L32" s="86">
        <v>0</v>
      </c>
      <c r="M32" s="61">
        <v>0</v>
      </c>
      <c r="N32" s="61">
        <v>9.3258734068513149E-15</v>
      </c>
      <c r="O32" s="61">
        <v>0</v>
      </c>
      <c r="P32" s="61">
        <v>8.8817841970012523E-15</v>
      </c>
      <c r="Q32" s="61">
        <v>-2.8421709430404007E-14</v>
      </c>
      <c r="R32" s="61">
        <v>3.907985046680551E-14</v>
      </c>
      <c r="S32" s="61">
        <v>-5.6843418860808015E-14</v>
      </c>
      <c r="T32" s="61">
        <v>4.6185277824406512E-14</v>
      </c>
      <c r="U32" s="61">
        <v>-2.4868995751603507E-14</v>
      </c>
      <c r="V32" s="61">
        <v>0</v>
      </c>
      <c r="W32" s="61">
        <v>7.1054273576010019E-15</v>
      </c>
      <c r="X32" s="61">
        <v>-5.6843418860808015E-14</v>
      </c>
      <c r="Y32" s="61">
        <v>-5.6843418860808015E-14</v>
      </c>
      <c r="Z32" s="16"/>
      <c r="AA32" s="61">
        <v>0</v>
      </c>
      <c r="AB32" s="60">
        <v>0</v>
      </c>
      <c r="AC32" s="34"/>
      <c r="AD32" s="61">
        <v>0</v>
      </c>
      <c r="AE32" s="60">
        <v>0</v>
      </c>
    </row>
    <row r="33" spans="1:33" s="7" customFormat="1" ht="18" customHeight="1" x14ac:dyDescent="0.2">
      <c r="A33" s="32"/>
      <c r="B33" s="32"/>
      <c r="C33" s="5">
        <v>0</v>
      </c>
      <c r="D33" s="5">
        <v>0</v>
      </c>
      <c r="F33" s="118" t="s">
        <v>373</v>
      </c>
      <c r="G33" s="16"/>
      <c r="H33" s="120">
        <v>-5.2402526762307389E-14</v>
      </c>
      <c r="I33" s="120">
        <v>6.3948846218409017E-14</v>
      </c>
      <c r="J33" s="120">
        <v>6.3948846218409017E-14</v>
      </c>
      <c r="K33" s="121">
        <v>0</v>
      </c>
      <c r="L33" s="121">
        <v>0</v>
      </c>
      <c r="M33" s="120">
        <v>0</v>
      </c>
      <c r="N33" s="120">
        <v>9.3258734068513149E-15</v>
      </c>
      <c r="O33" s="120">
        <v>0</v>
      </c>
      <c r="P33" s="120">
        <v>8.8817841970012523E-15</v>
      </c>
      <c r="Q33" s="120">
        <v>-2.8421709430404007E-14</v>
      </c>
      <c r="R33" s="120">
        <v>3.907985046680551E-14</v>
      </c>
      <c r="S33" s="120">
        <v>-5.6843418860808015E-14</v>
      </c>
      <c r="T33" s="120">
        <v>4.6185277824406512E-14</v>
      </c>
      <c r="U33" s="120">
        <v>-2.4868995751603507E-14</v>
      </c>
      <c r="V33" s="120">
        <v>0</v>
      </c>
      <c r="W33" s="120">
        <v>7.1054273576010019E-15</v>
      </c>
      <c r="X33" s="120">
        <v>-5.6843418860808015E-14</v>
      </c>
      <c r="Y33" s="120">
        <v>-5.6843418860808015E-14</v>
      </c>
      <c r="Z33" s="16"/>
      <c r="AA33" s="120">
        <v>0</v>
      </c>
      <c r="AB33" s="60">
        <v>0</v>
      </c>
      <c r="AC33" s="239"/>
      <c r="AD33" s="120">
        <v>0</v>
      </c>
      <c r="AE33" s="60">
        <v>0</v>
      </c>
    </row>
    <row r="34" spans="1:33" ht="8.25" customHeight="1" x14ac:dyDescent="0.2">
      <c r="A34" s="116"/>
      <c r="B34" s="116"/>
      <c r="C34" s="4"/>
      <c r="D34" s="4"/>
      <c r="F34" s="8"/>
      <c r="G34" s="16"/>
      <c r="K34" s="8"/>
      <c r="L34" s="8"/>
      <c r="Z34" s="16"/>
      <c r="AB34" s="8"/>
      <c r="AE34" s="8"/>
    </row>
    <row r="35" spans="1:33" ht="18" hidden="1" customHeight="1" outlineLevel="1" x14ac:dyDescent="0.2">
      <c r="A35" s="46" t="s">
        <v>303</v>
      </c>
      <c r="B35" s="46" t="s">
        <v>17</v>
      </c>
      <c r="C35" s="47">
        <v>0.99997563412197565</v>
      </c>
      <c r="D35" s="47">
        <v>0.99997563412197565</v>
      </c>
      <c r="E35" s="31"/>
      <c r="F35" s="94" t="s">
        <v>346</v>
      </c>
      <c r="G35" s="16"/>
      <c r="H35" s="59">
        <v>16.032</v>
      </c>
      <c r="I35" s="59">
        <v>18.079000000000001</v>
      </c>
      <c r="J35" s="59">
        <v>18.079000000000001</v>
      </c>
      <c r="K35" s="59">
        <v>0</v>
      </c>
      <c r="L35" s="59">
        <v>0</v>
      </c>
      <c r="M35" s="59">
        <v>0</v>
      </c>
      <c r="N35" s="59">
        <v>3.371</v>
      </c>
      <c r="O35" s="59">
        <v>0</v>
      </c>
      <c r="P35" s="59">
        <v>4.8469999999999995</v>
      </c>
      <c r="Q35" s="59">
        <v>0</v>
      </c>
      <c r="R35" s="59">
        <v>10.437000000000001</v>
      </c>
      <c r="S35" s="59">
        <v>0</v>
      </c>
      <c r="T35" s="59">
        <v>2.3009999999999984</v>
      </c>
      <c r="U35" s="59">
        <v>8.3640000000000008</v>
      </c>
      <c r="V35" s="59">
        <v>0</v>
      </c>
      <c r="W35" s="59">
        <v>8.9660000000000011</v>
      </c>
      <c r="X35" s="59">
        <v>2.7549999999999955</v>
      </c>
      <c r="Y35" s="59">
        <v>41.040999999999997</v>
      </c>
      <c r="Z35" s="16"/>
      <c r="AA35" s="59">
        <v>0</v>
      </c>
      <c r="AB35" s="63">
        <v>41.04</v>
      </c>
      <c r="AC35" s="31"/>
      <c r="AD35" s="59">
        <v>0</v>
      </c>
      <c r="AE35" s="63">
        <v>41.04</v>
      </c>
    </row>
    <row r="36" spans="1:33" ht="18" hidden="1" customHeight="1" outlineLevel="1" x14ac:dyDescent="0.2">
      <c r="A36" s="46" t="s">
        <v>301</v>
      </c>
      <c r="B36" s="46" t="s">
        <v>304</v>
      </c>
      <c r="C36" s="47">
        <v>0</v>
      </c>
      <c r="D36" s="47">
        <v>0</v>
      </c>
      <c r="E36" s="31"/>
      <c r="F36" s="94" t="s">
        <v>347</v>
      </c>
      <c r="G36" s="16"/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  <c r="Q36" s="59">
        <v>0</v>
      </c>
      <c r="R36" s="59">
        <v>0</v>
      </c>
      <c r="S36" s="59">
        <v>0</v>
      </c>
      <c r="T36" s="59">
        <v>0</v>
      </c>
      <c r="U36" s="59">
        <v>0</v>
      </c>
      <c r="V36" s="59">
        <v>0</v>
      </c>
      <c r="W36" s="59">
        <v>0</v>
      </c>
      <c r="X36" s="59">
        <v>0</v>
      </c>
      <c r="Y36" s="59">
        <v>0</v>
      </c>
      <c r="Z36" s="16"/>
      <c r="AA36" s="59">
        <v>0</v>
      </c>
      <c r="AB36" s="63">
        <v>0</v>
      </c>
      <c r="AC36" s="31"/>
      <c r="AD36" s="59">
        <v>0</v>
      </c>
      <c r="AE36" s="63">
        <v>0</v>
      </c>
    </row>
    <row r="37" spans="1:33" ht="18" customHeight="1" collapsed="1" x14ac:dyDescent="0.2">
      <c r="A37" s="32"/>
      <c r="B37" s="32"/>
      <c r="C37" s="4">
        <v>0.99997563412197565</v>
      </c>
      <c r="D37" s="4">
        <v>0.99997563412197565</v>
      </c>
      <c r="F37" s="213" t="s">
        <v>436</v>
      </c>
      <c r="G37" s="16"/>
      <c r="H37" s="61">
        <v>16.032</v>
      </c>
      <c r="I37" s="61">
        <v>18.079000000000001</v>
      </c>
      <c r="J37" s="61">
        <v>18.079000000000001</v>
      </c>
      <c r="K37" s="86">
        <v>0</v>
      </c>
      <c r="L37" s="86">
        <v>0</v>
      </c>
      <c r="M37" s="61">
        <v>0</v>
      </c>
      <c r="N37" s="61">
        <v>3.371</v>
      </c>
      <c r="O37" s="61">
        <v>0</v>
      </c>
      <c r="P37" s="61">
        <v>4.8469999999999995</v>
      </c>
      <c r="Q37" s="61">
        <v>0</v>
      </c>
      <c r="R37" s="61">
        <v>10.437000000000001</v>
      </c>
      <c r="S37" s="61">
        <v>0</v>
      </c>
      <c r="T37" s="61">
        <v>2.3009999999999984</v>
      </c>
      <c r="U37" s="61">
        <v>8.3640000000000008</v>
      </c>
      <c r="V37" s="61">
        <v>0</v>
      </c>
      <c r="W37" s="61">
        <v>8.9660000000000011</v>
      </c>
      <c r="X37" s="61">
        <v>2.7549999999999955</v>
      </c>
      <c r="Y37" s="61">
        <v>41.040999999999997</v>
      </c>
      <c r="Z37" s="16"/>
      <c r="AA37" s="61">
        <v>0</v>
      </c>
      <c r="AB37" s="60">
        <v>41.04</v>
      </c>
      <c r="AC37" s="34"/>
      <c r="AD37" s="61">
        <v>0</v>
      </c>
      <c r="AE37" s="60">
        <v>41.04</v>
      </c>
      <c r="AG37" s="48"/>
    </row>
    <row r="38" spans="1:33" ht="18" hidden="1" customHeight="1" outlineLevel="1" x14ac:dyDescent="0.2">
      <c r="A38" s="46" t="s">
        <v>300</v>
      </c>
      <c r="B38" s="46" t="s">
        <v>17</v>
      </c>
      <c r="C38" s="47">
        <v>0</v>
      </c>
      <c r="D38" s="47">
        <v>0</v>
      </c>
      <c r="E38" s="31"/>
      <c r="F38" s="217" t="s">
        <v>437</v>
      </c>
      <c r="G38" s="16"/>
      <c r="H38" s="59">
        <v>0</v>
      </c>
      <c r="I38" s="59">
        <v>0</v>
      </c>
      <c r="J38" s="59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59">
        <v>0</v>
      </c>
      <c r="Q38" s="59">
        <v>0</v>
      </c>
      <c r="R38" s="59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16"/>
      <c r="AA38" s="59">
        <v>0</v>
      </c>
      <c r="AB38" s="63">
        <v>0</v>
      </c>
      <c r="AC38" s="31"/>
      <c r="AD38" s="59">
        <v>0</v>
      </c>
      <c r="AE38" s="63">
        <v>0</v>
      </c>
    </row>
    <row r="39" spans="1:33" ht="18" hidden="1" customHeight="1" outlineLevel="1" x14ac:dyDescent="0.2">
      <c r="A39" s="46" t="s">
        <v>301</v>
      </c>
      <c r="B39" s="46" t="s">
        <v>302</v>
      </c>
      <c r="C39" s="47">
        <v>0</v>
      </c>
      <c r="D39" s="47">
        <v>0</v>
      </c>
      <c r="E39" s="31"/>
      <c r="F39" s="217" t="s">
        <v>438</v>
      </c>
      <c r="G39" s="16"/>
      <c r="H39" s="59">
        <v>0</v>
      </c>
      <c r="I39" s="59">
        <v>0</v>
      </c>
      <c r="J39" s="59">
        <v>0</v>
      </c>
      <c r="K39" s="59">
        <v>0</v>
      </c>
      <c r="L39" s="59">
        <v>0</v>
      </c>
      <c r="M39" s="59">
        <v>0</v>
      </c>
      <c r="N39" s="59">
        <v>0</v>
      </c>
      <c r="O39" s="59">
        <v>0</v>
      </c>
      <c r="P39" s="59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0</v>
      </c>
      <c r="X39" s="59">
        <v>0</v>
      </c>
      <c r="Y39" s="59">
        <v>0</v>
      </c>
      <c r="Z39" s="16"/>
      <c r="AA39" s="59">
        <v>0</v>
      </c>
      <c r="AB39" s="63">
        <v>0</v>
      </c>
      <c r="AC39" s="31"/>
      <c r="AD39" s="59">
        <v>0</v>
      </c>
      <c r="AE39" s="63">
        <v>0</v>
      </c>
    </row>
    <row r="40" spans="1:33" ht="18" customHeight="1" collapsed="1" x14ac:dyDescent="0.2">
      <c r="A40" s="32"/>
      <c r="B40" s="32"/>
      <c r="C40" s="4">
        <v>0</v>
      </c>
      <c r="D40" s="4">
        <v>0</v>
      </c>
      <c r="F40" s="213" t="s">
        <v>439</v>
      </c>
      <c r="G40" s="16"/>
      <c r="H40" s="61">
        <v>0</v>
      </c>
      <c r="I40" s="61">
        <v>0</v>
      </c>
      <c r="J40" s="61">
        <v>0</v>
      </c>
      <c r="K40" s="86">
        <v>0</v>
      </c>
      <c r="L40" s="86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16"/>
      <c r="AA40" s="61">
        <v>0</v>
      </c>
      <c r="AB40" s="60">
        <v>0</v>
      </c>
      <c r="AC40" s="34"/>
      <c r="AD40" s="61">
        <v>0</v>
      </c>
      <c r="AE40" s="60">
        <v>0</v>
      </c>
      <c r="AG40" s="48"/>
    </row>
    <row r="41" spans="1:33" ht="18" hidden="1" customHeight="1" outlineLevel="1" x14ac:dyDescent="0.2">
      <c r="A41" s="46" t="s">
        <v>309</v>
      </c>
      <c r="B41" s="46" t="s">
        <v>17</v>
      </c>
      <c r="C41" s="47">
        <v>0</v>
      </c>
      <c r="D41" s="47">
        <v>0</v>
      </c>
      <c r="E41" s="31"/>
      <c r="F41" s="217" t="s">
        <v>440</v>
      </c>
      <c r="G41" s="16"/>
      <c r="H41" s="59">
        <v>0</v>
      </c>
      <c r="I41" s="59">
        <v>0</v>
      </c>
      <c r="J41" s="59">
        <v>0</v>
      </c>
      <c r="K41" s="59">
        <v>0</v>
      </c>
      <c r="L41" s="59">
        <v>0</v>
      </c>
      <c r="M41" s="59">
        <v>0</v>
      </c>
      <c r="N41" s="59">
        <v>0</v>
      </c>
      <c r="O41" s="59">
        <v>0</v>
      </c>
      <c r="P41" s="59">
        <v>0</v>
      </c>
      <c r="Q41" s="59">
        <v>0</v>
      </c>
      <c r="R41" s="59">
        <v>0</v>
      </c>
      <c r="S41" s="59">
        <v>0</v>
      </c>
      <c r="T41" s="59">
        <v>0</v>
      </c>
      <c r="U41" s="59">
        <v>0</v>
      </c>
      <c r="V41" s="59">
        <v>0</v>
      </c>
      <c r="W41" s="59">
        <v>0</v>
      </c>
      <c r="X41" s="59">
        <v>0</v>
      </c>
      <c r="Y41" s="59">
        <v>0</v>
      </c>
      <c r="Z41" s="16"/>
      <c r="AA41" s="59">
        <v>0</v>
      </c>
      <c r="AB41" s="63">
        <v>0</v>
      </c>
      <c r="AC41" s="31"/>
      <c r="AD41" s="59">
        <v>0</v>
      </c>
      <c r="AE41" s="63">
        <v>0</v>
      </c>
    </row>
    <row r="42" spans="1:33" ht="18" hidden="1" customHeight="1" outlineLevel="1" x14ac:dyDescent="0.2">
      <c r="A42" s="46" t="s">
        <v>301</v>
      </c>
      <c r="B42" s="46" t="s">
        <v>308</v>
      </c>
      <c r="C42" s="47">
        <v>0</v>
      </c>
      <c r="D42" s="47">
        <v>0</v>
      </c>
      <c r="E42" s="31"/>
      <c r="F42" s="217" t="s">
        <v>441</v>
      </c>
      <c r="G42" s="16"/>
      <c r="H42" s="59">
        <v>0.57399999999999995</v>
      </c>
      <c r="I42" s="59">
        <v>0</v>
      </c>
      <c r="J42" s="59">
        <v>0</v>
      </c>
      <c r="K42" s="59">
        <v>0</v>
      </c>
      <c r="L42" s="59">
        <v>0</v>
      </c>
      <c r="M42" s="59">
        <v>0</v>
      </c>
      <c r="N42" s="59">
        <v>0</v>
      </c>
      <c r="O42" s="59">
        <v>0</v>
      </c>
      <c r="P42" s="59">
        <v>0</v>
      </c>
      <c r="Q42" s="59">
        <v>0</v>
      </c>
      <c r="R42" s="59">
        <v>0</v>
      </c>
      <c r="S42" s="59">
        <v>0</v>
      </c>
      <c r="T42" s="59">
        <v>0</v>
      </c>
      <c r="U42" s="59">
        <v>0</v>
      </c>
      <c r="V42" s="59">
        <v>0</v>
      </c>
      <c r="W42" s="59">
        <v>0</v>
      </c>
      <c r="X42" s="59">
        <v>0</v>
      </c>
      <c r="Y42" s="59">
        <v>0</v>
      </c>
      <c r="Z42" s="16"/>
      <c r="AA42" s="59">
        <v>0</v>
      </c>
      <c r="AB42" s="63">
        <v>0</v>
      </c>
      <c r="AC42" s="31"/>
      <c r="AD42" s="59">
        <v>0</v>
      </c>
      <c r="AE42" s="63">
        <v>0</v>
      </c>
    </row>
    <row r="43" spans="1:33" ht="18" customHeight="1" collapsed="1" x14ac:dyDescent="0.2">
      <c r="A43" s="32"/>
      <c r="B43" s="32"/>
      <c r="C43" s="4">
        <v>0</v>
      </c>
      <c r="D43" s="4">
        <v>0</v>
      </c>
      <c r="F43" s="213" t="s">
        <v>442</v>
      </c>
      <c r="G43" s="16"/>
      <c r="H43" s="61">
        <v>0.57399999999999995</v>
      </c>
      <c r="I43" s="61">
        <v>0</v>
      </c>
      <c r="J43" s="61">
        <v>0</v>
      </c>
      <c r="K43" s="86">
        <v>0</v>
      </c>
      <c r="L43" s="86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16"/>
      <c r="AA43" s="61">
        <v>0</v>
      </c>
      <c r="AB43" s="60">
        <v>0</v>
      </c>
      <c r="AC43" s="34"/>
      <c r="AD43" s="61">
        <v>0</v>
      </c>
      <c r="AE43" s="60">
        <v>0</v>
      </c>
      <c r="AG43" s="48"/>
    </row>
    <row r="44" spans="1:33" ht="18" hidden="1" customHeight="1" outlineLevel="1" x14ac:dyDescent="0.2">
      <c r="A44" s="212" t="s">
        <v>435</v>
      </c>
      <c r="B44" s="46" t="s">
        <v>17</v>
      </c>
      <c r="C44" s="47">
        <v>0</v>
      </c>
      <c r="D44" s="47">
        <v>0</v>
      </c>
      <c r="E44" s="31"/>
      <c r="F44" s="205" t="s">
        <v>433</v>
      </c>
      <c r="G44" s="16"/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  <c r="N44" s="59">
        <v>0</v>
      </c>
      <c r="O44" s="59">
        <v>0</v>
      </c>
      <c r="P44" s="59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16"/>
      <c r="AA44" s="59">
        <v>0</v>
      </c>
      <c r="AB44" s="63">
        <v>0</v>
      </c>
      <c r="AC44" s="31"/>
      <c r="AD44" s="59">
        <v>0</v>
      </c>
      <c r="AE44" s="63">
        <v>0</v>
      </c>
    </row>
    <row r="45" spans="1:33" ht="18" hidden="1" customHeight="1" outlineLevel="1" x14ac:dyDescent="0.2">
      <c r="A45" s="46" t="s">
        <v>301</v>
      </c>
      <c r="B45" s="212" t="s">
        <v>451</v>
      </c>
      <c r="C45" s="47">
        <v>0</v>
      </c>
      <c r="D45" s="47">
        <v>0</v>
      </c>
      <c r="E45" s="31"/>
      <c r="F45" s="205" t="s">
        <v>434</v>
      </c>
      <c r="G45" s="16"/>
      <c r="H45" s="59">
        <v>0</v>
      </c>
      <c r="I45" s="59">
        <v>0</v>
      </c>
      <c r="J45" s="59">
        <v>0</v>
      </c>
      <c r="K45" s="59">
        <v>0</v>
      </c>
      <c r="L45" s="59">
        <v>0</v>
      </c>
      <c r="M45" s="59">
        <v>0</v>
      </c>
      <c r="N45" s="59">
        <v>0</v>
      </c>
      <c r="O45" s="59">
        <v>0</v>
      </c>
      <c r="P45" s="59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16"/>
      <c r="AA45" s="59">
        <v>0</v>
      </c>
      <c r="AB45" s="63">
        <v>0</v>
      </c>
      <c r="AC45" s="31"/>
      <c r="AD45" s="59">
        <v>0</v>
      </c>
      <c r="AE45" s="63">
        <v>0</v>
      </c>
    </row>
    <row r="46" spans="1:33" ht="18" customHeight="1" collapsed="1" x14ac:dyDescent="0.2">
      <c r="A46" s="32"/>
      <c r="B46" s="32"/>
      <c r="C46" s="4">
        <v>0</v>
      </c>
      <c r="D46" s="4">
        <v>0</v>
      </c>
      <c r="F46" s="51" t="s">
        <v>432</v>
      </c>
      <c r="G46" s="16"/>
      <c r="H46" s="197">
        <v>0</v>
      </c>
      <c r="I46" s="197">
        <v>0</v>
      </c>
      <c r="J46" s="197">
        <v>0</v>
      </c>
      <c r="K46" s="86">
        <v>0</v>
      </c>
      <c r="L46" s="86">
        <v>0</v>
      </c>
      <c r="M46" s="197">
        <v>0</v>
      </c>
      <c r="N46" s="197">
        <v>0</v>
      </c>
      <c r="O46" s="197">
        <v>0</v>
      </c>
      <c r="P46" s="197">
        <v>0</v>
      </c>
      <c r="Q46" s="197">
        <v>0</v>
      </c>
      <c r="R46" s="197">
        <v>0</v>
      </c>
      <c r="S46" s="197">
        <v>0</v>
      </c>
      <c r="T46" s="197">
        <v>0</v>
      </c>
      <c r="U46" s="197">
        <v>0</v>
      </c>
      <c r="V46" s="197">
        <v>0</v>
      </c>
      <c r="W46" s="197">
        <v>0</v>
      </c>
      <c r="X46" s="197">
        <v>0</v>
      </c>
      <c r="Y46" s="197">
        <v>0</v>
      </c>
      <c r="Z46" s="16"/>
      <c r="AA46" s="197">
        <v>0</v>
      </c>
      <c r="AB46" s="60">
        <v>0</v>
      </c>
      <c r="AC46" s="34"/>
      <c r="AD46" s="197">
        <v>0</v>
      </c>
      <c r="AE46" s="60">
        <v>0</v>
      </c>
      <c r="AG46" s="48"/>
    </row>
    <row r="47" spans="1:33" ht="18" hidden="1" customHeight="1" outlineLevel="1" x14ac:dyDescent="0.2">
      <c r="A47" s="46" t="s">
        <v>306</v>
      </c>
      <c r="B47" s="46" t="s">
        <v>17</v>
      </c>
      <c r="C47" s="47">
        <v>0</v>
      </c>
      <c r="D47" s="47">
        <v>0</v>
      </c>
      <c r="E47" s="31"/>
      <c r="F47" s="94" t="s">
        <v>350</v>
      </c>
      <c r="G47" s="16"/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16"/>
      <c r="AA47" s="59">
        <v>0</v>
      </c>
      <c r="AB47" s="63">
        <v>0</v>
      </c>
      <c r="AC47" s="31"/>
      <c r="AD47" s="59">
        <v>0</v>
      </c>
      <c r="AE47" s="63">
        <v>0</v>
      </c>
    </row>
    <row r="48" spans="1:33" ht="18" hidden="1" customHeight="1" outlineLevel="1" x14ac:dyDescent="0.2">
      <c r="A48" s="46" t="s">
        <v>301</v>
      </c>
      <c r="B48" s="46" t="s">
        <v>307</v>
      </c>
      <c r="C48" s="47">
        <v>0</v>
      </c>
      <c r="D48" s="47">
        <v>0</v>
      </c>
      <c r="E48" s="31"/>
      <c r="F48" s="94" t="s">
        <v>351</v>
      </c>
      <c r="G48" s="16"/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16"/>
      <c r="AA48" s="59">
        <v>0</v>
      </c>
      <c r="AB48" s="63">
        <v>0</v>
      </c>
      <c r="AC48" s="31"/>
      <c r="AD48" s="59">
        <v>0</v>
      </c>
      <c r="AE48" s="63">
        <v>0</v>
      </c>
    </row>
    <row r="49" spans="1:33" ht="18" customHeight="1" collapsed="1" x14ac:dyDescent="0.2">
      <c r="A49" s="32"/>
      <c r="B49" s="32"/>
      <c r="C49" s="4">
        <v>0</v>
      </c>
      <c r="D49" s="4">
        <v>0</v>
      </c>
      <c r="F49" s="51" t="s">
        <v>325</v>
      </c>
      <c r="G49" s="16"/>
      <c r="H49" s="61">
        <v>0</v>
      </c>
      <c r="I49" s="61">
        <v>0</v>
      </c>
      <c r="J49" s="61">
        <v>0</v>
      </c>
      <c r="K49" s="86">
        <v>0</v>
      </c>
      <c r="L49" s="86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  <c r="R49" s="61">
        <v>0</v>
      </c>
      <c r="S49" s="61">
        <v>0</v>
      </c>
      <c r="T49" s="61">
        <v>0</v>
      </c>
      <c r="U49" s="61">
        <v>0</v>
      </c>
      <c r="V49" s="61">
        <v>0</v>
      </c>
      <c r="W49" s="61">
        <v>0</v>
      </c>
      <c r="X49" s="61">
        <v>0</v>
      </c>
      <c r="Y49" s="61">
        <v>0</v>
      </c>
      <c r="Z49" s="16"/>
      <c r="AA49" s="61">
        <v>0</v>
      </c>
      <c r="AB49" s="60">
        <v>0</v>
      </c>
      <c r="AC49" s="34"/>
      <c r="AD49" s="61">
        <v>0</v>
      </c>
      <c r="AE49" s="60">
        <v>0</v>
      </c>
      <c r="AG49" s="48"/>
    </row>
    <row r="50" spans="1:33" ht="18" hidden="1" customHeight="1" outlineLevel="1" x14ac:dyDescent="0.2">
      <c r="A50" s="46" t="s">
        <v>305</v>
      </c>
      <c r="B50" s="46" t="s">
        <v>17</v>
      </c>
      <c r="C50" s="47">
        <v>0</v>
      </c>
      <c r="D50" s="47">
        <v>0</v>
      </c>
      <c r="E50" s="31"/>
      <c r="F50" s="94" t="s">
        <v>353</v>
      </c>
      <c r="G50" s="16"/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0</v>
      </c>
      <c r="Z50" s="16"/>
      <c r="AA50" s="59">
        <v>0</v>
      </c>
      <c r="AB50" s="63">
        <v>0</v>
      </c>
      <c r="AC50" s="31"/>
      <c r="AD50" s="59">
        <v>0</v>
      </c>
      <c r="AE50" s="63">
        <v>0</v>
      </c>
    </row>
    <row r="51" spans="1:33" ht="18" hidden="1" customHeight="1" outlineLevel="1" x14ac:dyDescent="0.2">
      <c r="A51" s="46" t="s">
        <v>301</v>
      </c>
      <c r="B51" s="46" t="s">
        <v>352</v>
      </c>
      <c r="C51" s="47">
        <v>0</v>
      </c>
      <c r="D51" s="47">
        <v>0</v>
      </c>
      <c r="E51" s="31"/>
      <c r="F51" s="94" t="s">
        <v>354</v>
      </c>
      <c r="G51" s="16"/>
      <c r="H51" s="59">
        <v>0</v>
      </c>
      <c r="I51" s="59">
        <v>0</v>
      </c>
      <c r="J51" s="59">
        <v>0</v>
      </c>
      <c r="K51" s="59">
        <v>0</v>
      </c>
      <c r="L51" s="59">
        <v>0</v>
      </c>
      <c r="M51" s="59">
        <v>0</v>
      </c>
      <c r="N51" s="59">
        <v>0</v>
      </c>
      <c r="O51" s="59">
        <v>0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59">
        <v>0</v>
      </c>
      <c r="Y51" s="59">
        <v>0</v>
      </c>
      <c r="Z51" s="16"/>
      <c r="AA51" s="59">
        <v>0</v>
      </c>
      <c r="AB51" s="63">
        <v>0</v>
      </c>
      <c r="AC51" s="31"/>
      <c r="AD51" s="59">
        <v>0</v>
      </c>
      <c r="AE51" s="63">
        <v>0</v>
      </c>
    </row>
    <row r="52" spans="1:33" ht="18" hidden="1" customHeight="1" outlineLevel="1" x14ac:dyDescent="0.2">
      <c r="A52" s="46" t="s">
        <v>310</v>
      </c>
      <c r="B52" s="46" t="s">
        <v>334</v>
      </c>
      <c r="C52" s="47">
        <v>0</v>
      </c>
      <c r="D52" s="47">
        <v>0</v>
      </c>
      <c r="E52" s="31"/>
      <c r="F52" s="94" t="s">
        <v>355</v>
      </c>
      <c r="G52" s="16"/>
      <c r="H52" s="59">
        <v>0</v>
      </c>
      <c r="I52" s="59">
        <v>0</v>
      </c>
      <c r="J52" s="59">
        <v>0</v>
      </c>
      <c r="K52" s="59">
        <v>0</v>
      </c>
      <c r="L52" s="59">
        <v>0</v>
      </c>
      <c r="M52" s="59">
        <v>0</v>
      </c>
      <c r="N52" s="59">
        <v>0</v>
      </c>
      <c r="O52" s="59">
        <v>0</v>
      </c>
      <c r="P52" s="59">
        <v>0</v>
      </c>
      <c r="Q52" s="59">
        <v>0</v>
      </c>
      <c r="R52" s="59">
        <v>0</v>
      </c>
      <c r="S52" s="59">
        <v>0</v>
      </c>
      <c r="T52" s="59">
        <v>0</v>
      </c>
      <c r="U52" s="59">
        <v>0</v>
      </c>
      <c r="V52" s="59">
        <v>0</v>
      </c>
      <c r="W52" s="59">
        <v>0</v>
      </c>
      <c r="X52" s="59">
        <v>0</v>
      </c>
      <c r="Y52" s="59">
        <v>0</v>
      </c>
      <c r="Z52" s="16"/>
      <c r="AA52" s="59">
        <v>0</v>
      </c>
      <c r="AB52" s="60">
        <v>0</v>
      </c>
      <c r="AC52" s="31"/>
      <c r="AD52" s="59">
        <v>0</v>
      </c>
      <c r="AE52" s="60">
        <v>0</v>
      </c>
    </row>
    <row r="53" spans="1:33" ht="18" customHeight="1" collapsed="1" x14ac:dyDescent="0.2">
      <c r="A53" s="32"/>
      <c r="B53" s="32"/>
      <c r="C53" s="4">
        <v>0</v>
      </c>
      <c r="D53" s="4">
        <v>0</v>
      </c>
      <c r="F53" s="51" t="s">
        <v>363</v>
      </c>
      <c r="G53" s="16"/>
      <c r="H53" s="61">
        <v>0</v>
      </c>
      <c r="I53" s="61">
        <v>0</v>
      </c>
      <c r="J53" s="61">
        <v>0</v>
      </c>
      <c r="K53" s="86">
        <v>0</v>
      </c>
      <c r="L53" s="86">
        <v>0</v>
      </c>
      <c r="M53" s="61">
        <v>0</v>
      </c>
      <c r="N53" s="61">
        <v>0</v>
      </c>
      <c r="O53" s="61">
        <v>0</v>
      </c>
      <c r="P53" s="61">
        <v>0</v>
      </c>
      <c r="Q53" s="61">
        <v>0</v>
      </c>
      <c r="R53" s="61">
        <v>0</v>
      </c>
      <c r="S53" s="61">
        <v>0</v>
      </c>
      <c r="T53" s="61">
        <v>0</v>
      </c>
      <c r="U53" s="61">
        <v>0</v>
      </c>
      <c r="V53" s="61">
        <v>0</v>
      </c>
      <c r="W53" s="61">
        <v>0</v>
      </c>
      <c r="X53" s="61">
        <v>0</v>
      </c>
      <c r="Y53" s="61">
        <v>0</v>
      </c>
      <c r="Z53" s="16"/>
      <c r="AA53" s="61">
        <v>0</v>
      </c>
      <c r="AB53" s="60">
        <v>0</v>
      </c>
      <c r="AC53" s="34"/>
      <c r="AD53" s="61">
        <v>0</v>
      </c>
      <c r="AE53" s="60">
        <v>0</v>
      </c>
      <c r="AG53" s="48"/>
    </row>
    <row r="54" spans="1:33" ht="18" customHeight="1" x14ac:dyDescent="0.2">
      <c r="A54" s="30" t="s">
        <v>311</v>
      </c>
      <c r="B54" s="30" t="s">
        <v>17</v>
      </c>
      <c r="C54" s="4">
        <v>0</v>
      </c>
      <c r="D54" s="4">
        <v>0</v>
      </c>
      <c r="F54" s="51" t="s">
        <v>374</v>
      </c>
      <c r="G54" s="16"/>
      <c r="H54" s="61">
        <v>0</v>
      </c>
      <c r="I54" s="61">
        <v>0</v>
      </c>
      <c r="J54" s="61">
        <v>0</v>
      </c>
      <c r="K54" s="86">
        <v>0</v>
      </c>
      <c r="L54" s="86">
        <v>0</v>
      </c>
      <c r="M54" s="61">
        <v>0</v>
      </c>
      <c r="N54" s="61">
        <v>0</v>
      </c>
      <c r="O54" s="61">
        <v>0</v>
      </c>
      <c r="P54" s="61">
        <v>0</v>
      </c>
      <c r="Q54" s="61">
        <v>0</v>
      </c>
      <c r="R54" s="61">
        <v>0</v>
      </c>
      <c r="S54" s="61">
        <v>0</v>
      </c>
      <c r="T54" s="61">
        <v>0</v>
      </c>
      <c r="U54" s="61">
        <v>0</v>
      </c>
      <c r="V54" s="61">
        <v>0</v>
      </c>
      <c r="W54" s="61">
        <v>0</v>
      </c>
      <c r="X54" s="61">
        <v>0</v>
      </c>
      <c r="Y54" s="61">
        <v>0</v>
      </c>
      <c r="Z54" s="16"/>
      <c r="AA54" s="61">
        <v>0</v>
      </c>
      <c r="AB54" s="60">
        <v>0</v>
      </c>
      <c r="AD54" s="61">
        <v>0</v>
      </c>
      <c r="AE54" s="60">
        <v>0</v>
      </c>
    </row>
    <row r="55" spans="1:33" ht="18" customHeight="1" x14ac:dyDescent="0.2">
      <c r="A55" s="32"/>
      <c r="B55" s="32"/>
      <c r="C55" s="5">
        <v>0.99997563412197565</v>
      </c>
      <c r="D55" s="5">
        <v>0.99997563412197565</v>
      </c>
      <c r="F55" s="118" t="s">
        <v>375</v>
      </c>
      <c r="G55" s="16"/>
      <c r="H55" s="120">
        <v>16.606000000000002</v>
      </c>
      <c r="I55" s="120">
        <v>18.079000000000001</v>
      </c>
      <c r="J55" s="120">
        <v>18.079000000000001</v>
      </c>
      <c r="K55" s="121">
        <v>0</v>
      </c>
      <c r="L55" s="121">
        <v>0</v>
      </c>
      <c r="M55" s="120">
        <v>0</v>
      </c>
      <c r="N55" s="120">
        <v>3.371</v>
      </c>
      <c r="O55" s="120">
        <v>0</v>
      </c>
      <c r="P55" s="120">
        <v>4.8469999999999995</v>
      </c>
      <c r="Q55" s="120">
        <v>0</v>
      </c>
      <c r="R55" s="120">
        <v>10.437000000000001</v>
      </c>
      <c r="S55" s="120">
        <v>0</v>
      </c>
      <c r="T55" s="120">
        <v>2.3009999999999984</v>
      </c>
      <c r="U55" s="120">
        <v>8.3640000000000008</v>
      </c>
      <c r="V55" s="120">
        <v>0</v>
      </c>
      <c r="W55" s="120">
        <v>8.9660000000000011</v>
      </c>
      <c r="X55" s="120">
        <v>2.7549999999999955</v>
      </c>
      <c r="Y55" s="120">
        <v>41.040999999999997</v>
      </c>
      <c r="Z55" s="16"/>
      <c r="AA55" s="120">
        <v>0</v>
      </c>
      <c r="AB55" s="60">
        <v>41.04</v>
      </c>
      <c r="AC55" s="239"/>
      <c r="AD55" s="120">
        <v>0</v>
      </c>
      <c r="AE55" s="60">
        <v>41.04</v>
      </c>
    </row>
    <row r="56" spans="1:33" ht="8.25" customHeight="1" x14ac:dyDescent="0.2">
      <c r="A56" s="116"/>
      <c r="F56" s="8"/>
      <c r="G56" s="16"/>
      <c r="K56" s="8"/>
      <c r="L56" s="8"/>
      <c r="Z56" s="16"/>
      <c r="AB56" s="8"/>
      <c r="AE56" s="8"/>
    </row>
    <row r="57" spans="1:33" ht="18" customHeight="1" x14ac:dyDescent="0.2">
      <c r="A57" s="30" t="s">
        <v>313</v>
      </c>
      <c r="B57" s="30" t="s">
        <v>17</v>
      </c>
      <c r="C57" s="4">
        <v>0</v>
      </c>
      <c r="D57" s="4">
        <v>0</v>
      </c>
      <c r="F57" s="51" t="s">
        <v>312</v>
      </c>
      <c r="G57" s="16"/>
      <c r="H57" s="61">
        <v>3.55</v>
      </c>
      <c r="I57" s="61">
        <v>0</v>
      </c>
      <c r="J57" s="61">
        <v>0</v>
      </c>
      <c r="K57" s="86">
        <v>0</v>
      </c>
      <c r="L57" s="86">
        <v>0</v>
      </c>
      <c r="M57" s="61">
        <v>0</v>
      </c>
      <c r="N57" s="61">
        <v>0</v>
      </c>
      <c r="O57" s="61">
        <v>0</v>
      </c>
      <c r="P57" s="61">
        <v>0</v>
      </c>
      <c r="Q57" s="61">
        <v>0</v>
      </c>
      <c r="R57" s="61">
        <v>0</v>
      </c>
      <c r="S57" s="61">
        <v>0</v>
      </c>
      <c r="T57" s="61">
        <v>0</v>
      </c>
      <c r="U57" s="61">
        <v>0</v>
      </c>
      <c r="V57" s="61">
        <v>0</v>
      </c>
      <c r="W57" s="61">
        <v>0</v>
      </c>
      <c r="X57" s="61">
        <v>0</v>
      </c>
      <c r="Y57" s="61">
        <v>0</v>
      </c>
      <c r="Z57" s="16"/>
      <c r="AA57" s="61">
        <v>0</v>
      </c>
      <c r="AB57" s="60">
        <v>0</v>
      </c>
      <c r="AD57" s="61">
        <v>0</v>
      </c>
      <c r="AE57" s="60">
        <v>0</v>
      </c>
    </row>
    <row r="58" spans="1:33" ht="8.25" customHeight="1" x14ac:dyDescent="0.2">
      <c r="A58" s="116"/>
      <c r="F58" s="8"/>
      <c r="G58" s="16"/>
      <c r="K58" s="8"/>
      <c r="L58" s="8"/>
      <c r="Z58" s="16"/>
      <c r="AB58" s="8"/>
      <c r="AE58" s="8"/>
    </row>
    <row r="59" spans="1:33" s="7" customFormat="1" ht="18" customHeight="1" x14ac:dyDescent="0.2">
      <c r="A59" s="30" t="s">
        <v>299</v>
      </c>
      <c r="B59" s="30" t="s">
        <v>17</v>
      </c>
      <c r="C59" s="4">
        <v>-0.14652777777777778</v>
      </c>
      <c r="D59" s="4">
        <v>4.1525423728813557E-2</v>
      </c>
      <c r="E59" s="8"/>
      <c r="F59" s="45" t="s">
        <v>376</v>
      </c>
      <c r="G59" s="16"/>
      <c r="H59" s="62">
        <v>706.08199999999999</v>
      </c>
      <c r="I59" s="62">
        <v>576.30700000000002</v>
      </c>
      <c r="J59" s="62">
        <v>576.30700000000002</v>
      </c>
      <c r="K59" s="108">
        <v>720</v>
      </c>
      <c r="L59" s="108">
        <v>590</v>
      </c>
      <c r="M59" s="62">
        <v>41.911000000000001</v>
      </c>
      <c r="N59" s="62">
        <v>42.275000000000006</v>
      </c>
      <c r="O59" s="62">
        <v>27.519999999999996</v>
      </c>
      <c r="P59" s="62">
        <v>65.468000000000004</v>
      </c>
      <c r="Q59" s="62">
        <v>34.897999999999996</v>
      </c>
      <c r="R59" s="62">
        <v>59.622000000000014</v>
      </c>
      <c r="S59" s="62">
        <v>35.58099999999996</v>
      </c>
      <c r="T59" s="62">
        <v>32.299000000000035</v>
      </c>
      <c r="U59" s="62">
        <v>50.144000000000005</v>
      </c>
      <c r="V59" s="62">
        <v>77.625999999999976</v>
      </c>
      <c r="W59" s="62">
        <v>73.593999999999994</v>
      </c>
      <c r="X59" s="62">
        <v>73.557999999999993</v>
      </c>
      <c r="Y59" s="62">
        <v>614.49599999999998</v>
      </c>
      <c r="Z59" s="16"/>
      <c r="AA59" s="62">
        <v>720</v>
      </c>
      <c r="AB59" s="60">
        <v>-105.5</v>
      </c>
      <c r="AD59" s="62">
        <v>590</v>
      </c>
      <c r="AE59" s="60">
        <v>24.5</v>
      </c>
    </row>
    <row r="60" spans="1:33" ht="8.25" customHeight="1" x14ac:dyDescent="0.2">
      <c r="A60" s="116"/>
      <c r="F60" s="8"/>
      <c r="G60" s="16"/>
      <c r="K60" s="8"/>
      <c r="L60" s="8"/>
      <c r="Z60" s="16"/>
      <c r="AB60" s="8"/>
      <c r="AE60" s="8"/>
    </row>
    <row r="61" spans="1:33" ht="18" customHeight="1" x14ac:dyDescent="0.2">
      <c r="A61" s="35"/>
      <c r="B61" s="32"/>
      <c r="C61" s="4">
        <v>4.6848445769910672E-2</v>
      </c>
      <c r="D61" s="4">
        <v>1.0225250761218883E-2</v>
      </c>
      <c r="F61" s="95" t="s">
        <v>234</v>
      </c>
      <c r="G61" s="16"/>
      <c r="H61" s="64">
        <v>5648.5039999999999</v>
      </c>
      <c r="I61" s="64">
        <v>6056.6260000000002</v>
      </c>
      <c r="J61" s="64">
        <v>6056.6260000000002</v>
      </c>
      <c r="K61" s="89">
        <v>6504.3779999999997</v>
      </c>
      <c r="L61" s="89">
        <v>6740.1769999999997</v>
      </c>
      <c r="M61" s="64">
        <v>468.93599999999998</v>
      </c>
      <c r="N61" s="64">
        <v>504.02300000000002</v>
      </c>
      <c r="O61" s="64">
        <v>517.23599999999999</v>
      </c>
      <c r="P61" s="64">
        <v>586.29499999999996</v>
      </c>
      <c r="Q61" s="64">
        <v>619.51600000000019</v>
      </c>
      <c r="R61" s="64">
        <v>585.38199999999983</v>
      </c>
      <c r="S61" s="64">
        <v>556.16200000000003</v>
      </c>
      <c r="T61" s="64">
        <v>555.96299999999974</v>
      </c>
      <c r="U61" s="64">
        <v>586.40600000000018</v>
      </c>
      <c r="V61" s="64">
        <v>633.18600000000038</v>
      </c>
      <c r="W61" s="64">
        <v>589.42099999999937</v>
      </c>
      <c r="X61" s="64">
        <v>606.56800000000021</v>
      </c>
      <c r="Y61" s="64">
        <v>6809.0940000000001</v>
      </c>
      <c r="Z61" s="16"/>
      <c r="AA61" s="64">
        <v>6504.3779999999997</v>
      </c>
      <c r="AB61" s="60">
        <v>304.72000000000003</v>
      </c>
      <c r="AD61" s="64">
        <v>6740.1769999999997</v>
      </c>
      <c r="AE61" s="60">
        <v>68.92</v>
      </c>
    </row>
    <row r="62" spans="1:33" ht="6.95" customHeight="1" x14ac:dyDescent="0.2">
      <c r="C62" s="4"/>
      <c r="D62" s="4"/>
      <c r="F62" s="96"/>
      <c r="G62" s="16"/>
      <c r="H62" s="16"/>
      <c r="I62" s="16"/>
      <c r="J62" s="16"/>
      <c r="K62" s="85"/>
      <c r="L62" s="85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20"/>
      <c r="AD62" s="16"/>
      <c r="AE62" s="20"/>
    </row>
    <row r="63" spans="1:33" s="36" customFormat="1" ht="18" customHeight="1" x14ac:dyDescent="0.2">
      <c r="A63" s="30" t="s">
        <v>21</v>
      </c>
      <c r="B63" s="30" t="s">
        <v>17</v>
      </c>
      <c r="C63" s="4">
        <v>-7.0680000000000005</v>
      </c>
      <c r="D63" s="4">
        <v>-1.1333333333333334E-2</v>
      </c>
      <c r="E63" s="8"/>
      <c r="F63" s="104" t="s">
        <v>24</v>
      </c>
      <c r="G63" s="16"/>
      <c r="H63" s="65">
        <v>-39.518999999999998</v>
      </c>
      <c r="I63" s="65">
        <v>-87.927999999999997</v>
      </c>
      <c r="J63" s="65">
        <v>-87.927999999999997</v>
      </c>
      <c r="K63" s="65">
        <v>10</v>
      </c>
      <c r="L63" s="65">
        <v>-60</v>
      </c>
      <c r="M63" s="65">
        <v>-25.132999999999999</v>
      </c>
      <c r="N63" s="65">
        <v>-40.332999999999998</v>
      </c>
      <c r="O63" s="65">
        <v>18.694999999999993</v>
      </c>
      <c r="P63" s="65">
        <v>-16.713000000000001</v>
      </c>
      <c r="Q63" s="65">
        <v>7.0330000000000013</v>
      </c>
      <c r="R63" s="65">
        <v>30.435000000000002</v>
      </c>
      <c r="S63" s="65">
        <v>-43.396000000000008</v>
      </c>
      <c r="T63" s="65">
        <v>-41.044999999999987</v>
      </c>
      <c r="U63" s="65">
        <v>12.545999999999992</v>
      </c>
      <c r="V63" s="65">
        <v>20.308000000000007</v>
      </c>
      <c r="W63" s="65">
        <v>10.417999999999992</v>
      </c>
      <c r="X63" s="65">
        <v>6.5040000000000049</v>
      </c>
      <c r="Y63" s="65">
        <v>-60.680999999999997</v>
      </c>
      <c r="AA63" s="65">
        <v>10</v>
      </c>
      <c r="AB63" s="60">
        <v>-70.680000000000007</v>
      </c>
      <c r="AD63" s="65">
        <v>-60</v>
      </c>
      <c r="AE63" s="60">
        <v>-0.68</v>
      </c>
    </row>
    <row r="64" spans="1:33" s="36" customFormat="1" ht="18" hidden="1" customHeight="1" outlineLevel="1" x14ac:dyDescent="0.2">
      <c r="A64" s="30" t="s">
        <v>119</v>
      </c>
      <c r="B64" s="30" t="s">
        <v>17</v>
      </c>
      <c r="C64" s="4">
        <v>1.6373333333333333</v>
      </c>
      <c r="D64" s="4">
        <v>2.1866666666666665</v>
      </c>
      <c r="E64" s="8"/>
      <c r="F64" s="38" t="s">
        <v>121</v>
      </c>
      <c r="G64" s="16"/>
      <c r="H64" s="66">
        <v>-8.3640000000000008</v>
      </c>
      <c r="I64" s="66">
        <v>-11.252000000000001</v>
      </c>
      <c r="J64" s="66">
        <v>-11.252000000000001</v>
      </c>
      <c r="K64" s="66">
        <v>-15</v>
      </c>
      <c r="L64" s="66">
        <v>3</v>
      </c>
      <c r="M64" s="66">
        <v>0.56000000000000005</v>
      </c>
      <c r="N64" s="66">
        <v>-0.48000000000000004</v>
      </c>
      <c r="O64" s="66">
        <v>9</v>
      </c>
      <c r="P64" s="66">
        <v>0</v>
      </c>
      <c r="Q64" s="66">
        <v>-0.59999999999999964</v>
      </c>
      <c r="R64" s="66">
        <v>-0.60000000000000053</v>
      </c>
      <c r="S64" s="66">
        <v>0</v>
      </c>
      <c r="T64" s="66">
        <v>0.47999999999999954</v>
      </c>
      <c r="U64" s="66">
        <v>0.72000000000000064</v>
      </c>
      <c r="V64" s="66">
        <v>0</v>
      </c>
      <c r="W64" s="66">
        <v>0.48000000000000043</v>
      </c>
      <c r="X64" s="66">
        <v>0</v>
      </c>
      <c r="Y64" s="66">
        <v>9.56</v>
      </c>
      <c r="Z64" s="34"/>
      <c r="AA64" s="66">
        <v>-15</v>
      </c>
      <c r="AB64" s="60">
        <v>24.56</v>
      </c>
      <c r="AC64" s="34"/>
      <c r="AD64" s="66">
        <v>3</v>
      </c>
      <c r="AE64" s="60">
        <v>6.56</v>
      </c>
    </row>
    <row r="65" spans="1:31" s="36" customFormat="1" ht="18" hidden="1" customHeight="1" outlineLevel="1" x14ac:dyDescent="0.2">
      <c r="A65" s="30" t="s">
        <v>120</v>
      </c>
      <c r="B65" s="30" t="s">
        <v>17</v>
      </c>
      <c r="C65" s="4">
        <v>0.99965647543799385</v>
      </c>
      <c r="D65" s="4">
        <v>-0.23421052631578945</v>
      </c>
      <c r="E65" s="8"/>
      <c r="F65" s="38" t="s">
        <v>122</v>
      </c>
      <c r="G65" s="16"/>
      <c r="H65" s="66">
        <v>-12.115</v>
      </c>
      <c r="I65" s="66">
        <v>32.426000000000002</v>
      </c>
      <c r="J65" s="66">
        <v>32.426000000000002</v>
      </c>
      <c r="K65" s="66">
        <v>0</v>
      </c>
      <c r="L65" s="66">
        <v>11.4</v>
      </c>
      <c r="M65" s="66">
        <v>-1.9890000000000001</v>
      </c>
      <c r="N65" s="66">
        <v>-7.9999999999999849E-2</v>
      </c>
      <c r="O65" s="66">
        <v>7.9999999999999849E-2</v>
      </c>
      <c r="P65" s="66">
        <v>0</v>
      </c>
      <c r="Q65" s="66">
        <v>22.38</v>
      </c>
      <c r="R65" s="66">
        <v>0</v>
      </c>
      <c r="S65" s="66">
        <v>0.54400000000000048</v>
      </c>
      <c r="T65" s="66">
        <v>2.6880000000000024</v>
      </c>
      <c r="U65" s="66">
        <v>0</v>
      </c>
      <c r="V65" s="66">
        <v>0.61299999999999955</v>
      </c>
      <c r="W65" s="66">
        <v>-17.667000000000002</v>
      </c>
      <c r="X65" s="66">
        <v>2.1640000000000015</v>
      </c>
      <c r="Y65" s="66">
        <v>8.7330000000000005</v>
      </c>
      <c r="Z65" s="34"/>
      <c r="AA65" s="66">
        <v>0</v>
      </c>
      <c r="AB65" s="60">
        <v>8.73</v>
      </c>
      <c r="AC65" s="34"/>
      <c r="AD65" s="66">
        <v>11.4</v>
      </c>
      <c r="AE65" s="60">
        <v>-2.67</v>
      </c>
    </row>
    <row r="66" spans="1:31" s="36" customFormat="1" ht="18" customHeight="1" collapsed="1" x14ac:dyDescent="0.2">
      <c r="A66" s="35"/>
      <c r="B66" s="35"/>
      <c r="C66" s="4">
        <v>2.2193333333333332</v>
      </c>
      <c r="D66" s="4">
        <v>0.27013888888888887</v>
      </c>
      <c r="E66" s="8"/>
      <c r="F66" s="104" t="s">
        <v>0</v>
      </c>
      <c r="G66" s="16"/>
      <c r="H66" s="65">
        <v>-20.478999999999999</v>
      </c>
      <c r="I66" s="65">
        <v>21.173999999999999</v>
      </c>
      <c r="J66" s="65">
        <v>21.173999999999999</v>
      </c>
      <c r="K66" s="65">
        <v>-15</v>
      </c>
      <c r="L66" s="65">
        <v>14.4</v>
      </c>
      <c r="M66" s="65">
        <v>-1.429</v>
      </c>
      <c r="N66" s="65">
        <v>-0.55999999999999983</v>
      </c>
      <c r="O66" s="65">
        <v>9.08</v>
      </c>
      <c r="P66" s="65">
        <v>0</v>
      </c>
      <c r="Q66" s="65">
        <v>21.78</v>
      </c>
      <c r="R66" s="65">
        <v>-0.60000000000000053</v>
      </c>
      <c r="S66" s="65">
        <v>0.54400000000000048</v>
      </c>
      <c r="T66" s="65">
        <v>3.1680000000000019</v>
      </c>
      <c r="U66" s="65">
        <v>0.72000000000000064</v>
      </c>
      <c r="V66" s="65">
        <v>0.61299999999999955</v>
      </c>
      <c r="W66" s="65">
        <v>-17.187000000000001</v>
      </c>
      <c r="X66" s="65">
        <v>2.1640000000000015</v>
      </c>
      <c r="Y66" s="65">
        <v>18.292999999999999</v>
      </c>
      <c r="AA66" s="65">
        <v>-15</v>
      </c>
      <c r="AB66" s="60">
        <v>33.29</v>
      </c>
      <c r="AD66" s="65">
        <v>14.4</v>
      </c>
      <c r="AE66" s="60">
        <v>3.89</v>
      </c>
    </row>
    <row r="67" spans="1:31" s="36" customFormat="1" ht="18" hidden="1" customHeight="1" outlineLevel="1" x14ac:dyDescent="0.2">
      <c r="A67" s="30" t="s">
        <v>131</v>
      </c>
      <c r="B67" s="30" t="s">
        <v>17</v>
      </c>
      <c r="C67" s="4">
        <v>0</v>
      </c>
      <c r="D67" s="4">
        <v>0</v>
      </c>
      <c r="E67" s="8"/>
      <c r="F67" s="38" t="s">
        <v>132</v>
      </c>
      <c r="G67" s="16"/>
      <c r="H67" s="66">
        <v>0</v>
      </c>
      <c r="I67" s="66">
        <v>0</v>
      </c>
      <c r="J67" s="66">
        <v>0</v>
      </c>
      <c r="K67" s="86">
        <v>0</v>
      </c>
      <c r="L67" s="8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34"/>
      <c r="AA67" s="66">
        <v>0</v>
      </c>
      <c r="AB67" s="60">
        <v>0</v>
      </c>
      <c r="AC67" s="34"/>
      <c r="AD67" s="66">
        <v>0</v>
      </c>
      <c r="AE67" s="60">
        <v>0</v>
      </c>
    </row>
    <row r="68" spans="1:31" s="36" customFormat="1" ht="18" hidden="1" customHeight="1" outlineLevel="1" x14ac:dyDescent="0.2">
      <c r="A68" s="30" t="s">
        <v>134</v>
      </c>
      <c r="B68" s="30" t="s">
        <v>17</v>
      </c>
      <c r="C68" s="4">
        <v>0</v>
      </c>
      <c r="D68" s="4">
        <v>0</v>
      </c>
      <c r="E68" s="8"/>
      <c r="F68" s="38" t="s">
        <v>133</v>
      </c>
      <c r="G68" s="16"/>
      <c r="H68" s="66">
        <v>0</v>
      </c>
      <c r="I68" s="66">
        <v>0</v>
      </c>
      <c r="J68" s="66">
        <v>0</v>
      </c>
      <c r="K68" s="86">
        <v>0</v>
      </c>
      <c r="L68" s="8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34"/>
      <c r="AA68" s="66">
        <v>0</v>
      </c>
      <c r="AB68" s="60">
        <v>0</v>
      </c>
      <c r="AC68" s="34"/>
      <c r="AD68" s="66">
        <v>0</v>
      </c>
      <c r="AE68" s="60">
        <v>0</v>
      </c>
    </row>
    <row r="69" spans="1:31" s="36" customFormat="1" ht="18" hidden="1" customHeight="1" outlineLevel="1" x14ac:dyDescent="0.2">
      <c r="A69" s="30" t="s">
        <v>135</v>
      </c>
      <c r="B69" s="30" t="s">
        <v>17</v>
      </c>
      <c r="C69" s="4">
        <v>0</v>
      </c>
      <c r="D69" s="4">
        <v>0</v>
      </c>
      <c r="E69" s="8"/>
      <c r="F69" s="38" t="s">
        <v>136</v>
      </c>
      <c r="G69" s="16"/>
      <c r="H69" s="66">
        <v>0</v>
      </c>
      <c r="I69" s="66">
        <v>24</v>
      </c>
      <c r="J69" s="66">
        <v>24</v>
      </c>
      <c r="K69" s="86">
        <v>0</v>
      </c>
      <c r="L69" s="8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34"/>
      <c r="AA69" s="66">
        <v>0</v>
      </c>
      <c r="AB69" s="60">
        <v>0</v>
      </c>
      <c r="AC69" s="34"/>
      <c r="AD69" s="66">
        <v>0</v>
      </c>
      <c r="AE69" s="60">
        <v>0</v>
      </c>
    </row>
    <row r="70" spans="1:31" s="36" customFormat="1" ht="18" hidden="1" customHeight="1" outlineLevel="1" x14ac:dyDescent="0.2">
      <c r="A70" s="30" t="s">
        <v>137</v>
      </c>
      <c r="B70" s="30" t="s">
        <v>17</v>
      </c>
      <c r="C70" s="4">
        <v>0</v>
      </c>
      <c r="D70" s="4">
        <v>0</v>
      </c>
      <c r="E70" s="8"/>
      <c r="F70" s="38" t="s">
        <v>138</v>
      </c>
      <c r="G70" s="16"/>
      <c r="H70" s="66">
        <v>0</v>
      </c>
      <c r="I70" s="66">
        <v>0</v>
      </c>
      <c r="J70" s="66">
        <v>0</v>
      </c>
      <c r="K70" s="86">
        <v>0</v>
      </c>
      <c r="L70" s="8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34"/>
      <c r="AA70" s="66">
        <v>0</v>
      </c>
      <c r="AB70" s="60">
        <v>0</v>
      </c>
      <c r="AC70" s="34"/>
      <c r="AD70" s="66">
        <v>0</v>
      </c>
      <c r="AE70" s="60">
        <v>0</v>
      </c>
    </row>
    <row r="71" spans="1:31" s="37" customFormat="1" ht="18" customHeight="1" collapsed="1" x14ac:dyDescent="0.2">
      <c r="A71" s="35"/>
      <c r="B71" s="35"/>
      <c r="C71" s="4">
        <v>0</v>
      </c>
      <c r="D71" s="4">
        <v>0</v>
      </c>
      <c r="E71" s="8"/>
      <c r="F71" s="105" t="s">
        <v>274</v>
      </c>
      <c r="G71" s="16"/>
      <c r="H71" s="67">
        <v>0</v>
      </c>
      <c r="I71" s="67">
        <v>24</v>
      </c>
      <c r="J71" s="67">
        <v>24</v>
      </c>
      <c r="K71" s="67">
        <v>0</v>
      </c>
      <c r="L71" s="67">
        <v>0</v>
      </c>
      <c r="M71" s="67">
        <v>0</v>
      </c>
      <c r="N71" s="67">
        <v>0</v>
      </c>
      <c r="O71" s="67">
        <v>0</v>
      </c>
      <c r="P71" s="67">
        <v>0</v>
      </c>
      <c r="Q71" s="67">
        <v>0</v>
      </c>
      <c r="R71" s="67">
        <v>0</v>
      </c>
      <c r="S71" s="67">
        <v>0</v>
      </c>
      <c r="T71" s="67">
        <v>0</v>
      </c>
      <c r="U71" s="67">
        <v>0</v>
      </c>
      <c r="V71" s="67">
        <v>0</v>
      </c>
      <c r="W71" s="67">
        <v>0</v>
      </c>
      <c r="X71" s="67">
        <v>0</v>
      </c>
      <c r="Y71" s="67">
        <v>0</v>
      </c>
      <c r="AA71" s="67">
        <v>0</v>
      </c>
      <c r="AB71" s="60">
        <v>0</v>
      </c>
      <c r="AD71" s="67">
        <v>0</v>
      </c>
      <c r="AE71" s="60">
        <v>0</v>
      </c>
    </row>
    <row r="72" spans="1:31" ht="6.95" customHeight="1" x14ac:dyDescent="0.2">
      <c r="C72" s="4"/>
      <c r="D72" s="4"/>
      <c r="F72" s="96"/>
      <c r="G72" s="16"/>
      <c r="H72" s="16"/>
      <c r="I72" s="16"/>
      <c r="J72" s="16"/>
      <c r="K72" s="85"/>
      <c r="L72" s="8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AA72" s="16"/>
      <c r="AB72" s="20"/>
      <c r="AD72" s="16"/>
      <c r="AE72" s="20"/>
    </row>
    <row r="73" spans="1:31" s="7" customFormat="1" ht="18" customHeight="1" x14ac:dyDescent="0.2">
      <c r="A73" s="276" t="s">
        <v>299</v>
      </c>
      <c r="B73" s="276" t="s">
        <v>17</v>
      </c>
      <c r="C73" s="252">
        <v>4.1131628288122342E-2</v>
      </c>
      <c r="D73" s="252">
        <v>1.0774392467216374E-2</v>
      </c>
      <c r="E73" s="253"/>
      <c r="F73" s="283" t="s">
        <v>448</v>
      </c>
      <c r="G73" s="16"/>
      <c r="H73" s="62">
        <v>5588.5059999999994</v>
      </c>
      <c r="I73" s="62">
        <v>6013.8720000000003</v>
      </c>
      <c r="J73" s="62">
        <v>6013.8720000000003</v>
      </c>
      <c r="K73" s="108">
        <v>6499.3779999999997</v>
      </c>
      <c r="L73" s="108">
        <v>6694.5769999999993</v>
      </c>
      <c r="M73" s="62">
        <v>442.37400000000002</v>
      </c>
      <c r="N73" s="62">
        <v>463.13000000000005</v>
      </c>
      <c r="O73" s="62">
        <v>545.01100000000008</v>
      </c>
      <c r="P73" s="62">
        <v>569.58199999999999</v>
      </c>
      <c r="Q73" s="62">
        <v>648.32900000000018</v>
      </c>
      <c r="R73" s="62">
        <v>615.21699999999976</v>
      </c>
      <c r="S73" s="62">
        <v>513.31000000000006</v>
      </c>
      <c r="T73" s="62">
        <v>518.08599999999979</v>
      </c>
      <c r="U73" s="62">
        <v>599.67200000000025</v>
      </c>
      <c r="V73" s="62">
        <v>654.10700000000043</v>
      </c>
      <c r="W73" s="62">
        <v>582.65199999999936</v>
      </c>
      <c r="X73" s="62">
        <v>615.23600000000022</v>
      </c>
      <c r="Y73" s="62">
        <v>6766.7060000000001</v>
      </c>
      <c r="Z73" s="16"/>
      <c r="AA73" s="62">
        <v>6499.3779999999997</v>
      </c>
      <c r="AB73" s="256">
        <v>267.33</v>
      </c>
      <c r="AD73" s="62">
        <v>6694.5770000000002</v>
      </c>
      <c r="AE73" s="256">
        <v>72.13</v>
      </c>
    </row>
    <row r="74" spans="1:31" s="253" customFormat="1" ht="8.25" customHeight="1" x14ac:dyDescent="0.2">
      <c r="A74" s="116"/>
      <c r="G74" s="16"/>
      <c r="Z74" s="16"/>
    </row>
    <row r="75" spans="1:31" ht="18" customHeight="1" x14ac:dyDescent="0.2">
      <c r="A75" s="30" t="s">
        <v>206</v>
      </c>
      <c r="B75" s="30" t="s">
        <v>38</v>
      </c>
      <c r="C75" s="4">
        <v>-3.9070331547096021E-2</v>
      </c>
      <c r="D75" s="4">
        <v>2.8195684532421564E-2</v>
      </c>
      <c r="F75" s="106" t="s">
        <v>377</v>
      </c>
      <c r="H75" s="61">
        <v>-672.23599999999999</v>
      </c>
      <c r="I75" s="61">
        <v>-768.92899999999997</v>
      </c>
      <c r="J75" s="61">
        <v>-768.92899999999997</v>
      </c>
      <c r="K75" s="86">
        <v>-808.03</v>
      </c>
      <c r="L75" s="86">
        <v>-863.96199999999999</v>
      </c>
      <c r="M75" s="61">
        <v>-74.745999999999995</v>
      </c>
      <c r="N75" s="61">
        <v>-75.069000000000003</v>
      </c>
      <c r="O75" s="61">
        <v>-86.710000000000008</v>
      </c>
      <c r="P75" s="61">
        <v>-64.11699999999999</v>
      </c>
      <c r="Q75" s="61">
        <v>-52.896000000000015</v>
      </c>
      <c r="R75" s="61">
        <v>-70.38</v>
      </c>
      <c r="S75" s="61">
        <v>-50.062999999999988</v>
      </c>
      <c r="T75" s="61">
        <v>-70.755999999999972</v>
      </c>
      <c r="U75" s="61">
        <v>-69.740000000000009</v>
      </c>
      <c r="V75" s="61">
        <v>-79.050000000000068</v>
      </c>
      <c r="W75" s="61">
        <v>-77.880999999999972</v>
      </c>
      <c r="X75" s="61">
        <v>-68.196000000000026</v>
      </c>
      <c r="Y75" s="61">
        <v>-839.60400000000004</v>
      </c>
      <c r="AA75" s="61">
        <v>-808.03000000000009</v>
      </c>
      <c r="AB75" s="60">
        <v>-31.57</v>
      </c>
      <c r="AD75" s="61">
        <v>-863.96199999999999</v>
      </c>
      <c r="AE75" s="60">
        <v>24.36</v>
      </c>
    </row>
    <row r="76" spans="1:31" ht="18" customHeight="1" x14ac:dyDescent="0.2">
      <c r="A76" s="30" t="s">
        <v>42</v>
      </c>
      <c r="B76" s="30" t="s">
        <v>17</v>
      </c>
      <c r="C76" s="4">
        <v>0</v>
      </c>
      <c r="D76" s="4">
        <v>0</v>
      </c>
      <c r="F76" s="106" t="s">
        <v>207</v>
      </c>
      <c r="H76" s="61">
        <v>0</v>
      </c>
      <c r="I76" s="61">
        <v>0</v>
      </c>
      <c r="J76" s="61">
        <v>0</v>
      </c>
      <c r="K76" s="86">
        <v>0</v>
      </c>
      <c r="L76" s="86">
        <v>0</v>
      </c>
      <c r="M76" s="61">
        <v>0</v>
      </c>
      <c r="N76" s="61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AA76" s="61">
        <v>0</v>
      </c>
      <c r="AB76" s="60">
        <v>0</v>
      </c>
      <c r="AD76" s="61">
        <v>0</v>
      </c>
      <c r="AE76" s="60">
        <v>0</v>
      </c>
    </row>
    <row r="77" spans="1:31" ht="18" customHeight="1" collapsed="1" x14ac:dyDescent="0.2">
      <c r="A77" s="35"/>
      <c r="B77" s="35"/>
      <c r="C77" s="4">
        <v>-3.9070331547096021E-2</v>
      </c>
      <c r="D77" s="4">
        <v>2.8195684532421564E-2</v>
      </c>
      <c r="F77" s="45" t="s">
        <v>41</v>
      </c>
      <c r="H77" s="62">
        <v>-672.23599999999999</v>
      </c>
      <c r="I77" s="62">
        <v>-768.92899999999997</v>
      </c>
      <c r="J77" s="62">
        <v>-768.92899999999997</v>
      </c>
      <c r="K77" s="108">
        <v>-808.03</v>
      </c>
      <c r="L77" s="108">
        <v>-863.96199999999999</v>
      </c>
      <c r="M77" s="62">
        <v>-74.745999999999995</v>
      </c>
      <c r="N77" s="62">
        <v>-75.069000000000003</v>
      </c>
      <c r="O77" s="62">
        <v>-86.710000000000008</v>
      </c>
      <c r="P77" s="62">
        <v>-64.11699999999999</v>
      </c>
      <c r="Q77" s="62">
        <v>-52.896000000000015</v>
      </c>
      <c r="R77" s="62">
        <v>-70.38</v>
      </c>
      <c r="S77" s="62">
        <v>-50.062999999999988</v>
      </c>
      <c r="T77" s="62">
        <v>-70.755999999999972</v>
      </c>
      <c r="U77" s="62">
        <v>-69.740000000000009</v>
      </c>
      <c r="V77" s="62">
        <v>-79.050000000000068</v>
      </c>
      <c r="W77" s="62">
        <v>-77.880999999999972</v>
      </c>
      <c r="X77" s="62">
        <v>-68.196000000000026</v>
      </c>
      <c r="Y77" s="62">
        <v>-839.60400000000004</v>
      </c>
      <c r="AA77" s="62">
        <v>-808.03000000000009</v>
      </c>
      <c r="AB77" s="60">
        <v>-31.57</v>
      </c>
      <c r="AD77" s="62">
        <v>-863.96199999999999</v>
      </c>
      <c r="AE77" s="60">
        <v>24.36</v>
      </c>
    </row>
    <row r="78" spans="1:31" ht="12.95" customHeight="1" x14ac:dyDescent="0.2">
      <c r="A78" s="35"/>
      <c r="B78" s="35"/>
      <c r="C78" s="4"/>
      <c r="D78" s="4"/>
      <c r="F78" s="39" t="s">
        <v>227</v>
      </c>
      <c r="H78" s="56">
        <v>0.13601347679336162</v>
      </c>
      <c r="I78" s="56">
        <v>0.140307343422892</v>
      </c>
      <c r="J78" s="56">
        <v>0.140307343422892</v>
      </c>
      <c r="K78" s="109">
        <v>0.13969176979789358</v>
      </c>
      <c r="L78" s="109">
        <v>0.1404775830028957</v>
      </c>
      <c r="M78" s="56">
        <v>0.17503893214682978</v>
      </c>
      <c r="N78" s="56">
        <v>0.16257569063645105</v>
      </c>
      <c r="O78" s="56">
        <v>0.17706180725154991</v>
      </c>
      <c r="P78" s="56">
        <v>0.12310613697062552</v>
      </c>
      <c r="Q78" s="56">
        <v>9.0479595222863515E-2</v>
      </c>
      <c r="R78" s="56">
        <v>0.13386335970785149</v>
      </c>
      <c r="S78" s="56">
        <v>9.6167551255232173E-2</v>
      </c>
      <c r="T78" s="56">
        <v>0.13511717437135257</v>
      </c>
      <c r="U78" s="56">
        <v>0.13004837187792534</v>
      </c>
      <c r="V78" s="56">
        <v>0.14228886168910657</v>
      </c>
      <c r="W78" s="56">
        <v>0.15098279074185722</v>
      </c>
      <c r="X78" s="56">
        <v>0.12794506669668484</v>
      </c>
      <c r="Y78" s="56">
        <v>0.13553809302879705</v>
      </c>
      <c r="AA78" s="56">
        <v>0.13969176979789358</v>
      </c>
      <c r="AB78" s="57"/>
      <c r="AD78" s="56">
        <v>0.1404775830028957</v>
      </c>
      <c r="AE78" s="57"/>
    </row>
    <row r="79" spans="1:31" ht="18" customHeight="1" x14ac:dyDescent="0.2">
      <c r="A79" s="30" t="s">
        <v>39</v>
      </c>
      <c r="B79" s="30" t="s">
        <v>17</v>
      </c>
      <c r="C79" s="4">
        <v>0</v>
      </c>
      <c r="D79" s="4">
        <v>0</v>
      </c>
      <c r="F79" s="45" t="s">
        <v>40</v>
      </c>
      <c r="H79" s="62">
        <v>0</v>
      </c>
      <c r="I79" s="62">
        <v>0</v>
      </c>
      <c r="J79" s="62">
        <v>0</v>
      </c>
      <c r="K79" s="108">
        <v>0</v>
      </c>
      <c r="L79" s="108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0</v>
      </c>
      <c r="V79" s="62">
        <v>0</v>
      </c>
      <c r="W79" s="62">
        <v>0</v>
      </c>
      <c r="X79" s="62">
        <v>0</v>
      </c>
      <c r="Y79" s="62">
        <v>0</v>
      </c>
      <c r="AA79" s="62">
        <v>0</v>
      </c>
      <c r="AB79" s="60">
        <v>0</v>
      </c>
      <c r="AD79" s="62">
        <v>0</v>
      </c>
      <c r="AE79" s="60">
        <v>0</v>
      </c>
    </row>
    <row r="80" spans="1:31" ht="12.95" customHeight="1" x14ac:dyDescent="0.2">
      <c r="A80" s="35"/>
      <c r="B80" s="35"/>
      <c r="C80" s="4"/>
      <c r="D80" s="4"/>
      <c r="F80" s="39" t="s">
        <v>228</v>
      </c>
      <c r="H80" s="56">
        <v>0</v>
      </c>
      <c r="I80" s="56">
        <v>0</v>
      </c>
      <c r="J80" s="56">
        <v>0</v>
      </c>
      <c r="K80" s="109">
        <v>0</v>
      </c>
      <c r="L80" s="109">
        <v>0</v>
      </c>
      <c r="M80" s="56">
        <v>0</v>
      </c>
      <c r="N80" s="56">
        <v>0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AA80" s="56">
        <v>0</v>
      </c>
      <c r="AB80" s="57"/>
      <c r="AD80" s="56">
        <v>0</v>
      </c>
      <c r="AE80" s="57"/>
    </row>
    <row r="81" spans="1:31" ht="18" hidden="1" customHeight="1" outlineLevel="1" x14ac:dyDescent="0.2">
      <c r="A81" s="30" t="s">
        <v>209</v>
      </c>
      <c r="B81" s="30" t="s">
        <v>17</v>
      </c>
      <c r="C81" s="4">
        <v>0</v>
      </c>
      <c r="D81" s="4">
        <v>0</v>
      </c>
      <c r="F81" s="106" t="s">
        <v>210</v>
      </c>
      <c r="H81" s="61">
        <v>0</v>
      </c>
      <c r="I81" s="61">
        <v>0</v>
      </c>
      <c r="J81" s="61">
        <v>0</v>
      </c>
      <c r="K81" s="86">
        <v>0</v>
      </c>
      <c r="L81" s="86">
        <v>0</v>
      </c>
      <c r="M81" s="61">
        <v>0</v>
      </c>
      <c r="N81" s="61">
        <v>0</v>
      </c>
      <c r="O81" s="61">
        <v>0</v>
      </c>
      <c r="P81" s="61">
        <v>0</v>
      </c>
      <c r="Q81" s="61">
        <v>0</v>
      </c>
      <c r="R81" s="61">
        <v>0</v>
      </c>
      <c r="S81" s="61">
        <v>0</v>
      </c>
      <c r="T81" s="61">
        <v>0</v>
      </c>
      <c r="U81" s="61">
        <v>0</v>
      </c>
      <c r="V81" s="61">
        <v>0</v>
      </c>
      <c r="W81" s="61">
        <v>0</v>
      </c>
      <c r="X81" s="61">
        <v>0</v>
      </c>
      <c r="Y81" s="61">
        <v>0</v>
      </c>
      <c r="AA81" s="61">
        <v>0</v>
      </c>
      <c r="AB81" s="60">
        <v>0</v>
      </c>
      <c r="AD81" s="61">
        <v>0</v>
      </c>
      <c r="AE81" s="60">
        <v>0</v>
      </c>
    </row>
    <row r="82" spans="1:31" ht="18" hidden="1" customHeight="1" outlineLevel="1" x14ac:dyDescent="0.2">
      <c r="A82" s="30" t="s">
        <v>206</v>
      </c>
      <c r="B82" s="30" t="s">
        <v>205</v>
      </c>
      <c r="C82" s="4">
        <v>0.28401477832512317</v>
      </c>
      <c r="D82" s="4">
        <v>8.7602008788449467E-2</v>
      </c>
      <c r="F82" s="106" t="s">
        <v>208</v>
      </c>
      <c r="H82" s="61">
        <v>-354.029</v>
      </c>
      <c r="I82" s="61">
        <v>-310.71899999999999</v>
      </c>
      <c r="J82" s="61">
        <v>-310.71899999999999</v>
      </c>
      <c r="K82" s="86">
        <v>-406</v>
      </c>
      <c r="L82" s="86">
        <v>-318.60000000000002</v>
      </c>
      <c r="M82" s="61">
        <v>-24.803000000000001</v>
      </c>
      <c r="N82" s="61">
        <v>-24.623999999999999</v>
      </c>
      <c r="O82" s="61">
        <v>-24.002000000000002</v>
      </c>
      <c r="P82" s="61">
        <v>-26.566000000000003</v>
      </c>
      <c r="Q82" s="61">
        <v>-20.075999999999993</v>
      </c>
      <c r="R82" s="61">
        <v>-31.079000000000008</v>
      </c>
      <c r="S82" s="61">
        <v>-23.370000000000005</v>
      </c>
      <c r="T82" s="61">
        <v>-19.691999999999979</v>
      </c>
      <c r="U82" s="61">
        <v>-27.740000000000009</v>
      </c>
      <c r="V82" s="61">
        <v>-30.295000000000016</v>
      </c>
      <c r="W82" s="61">
        <v>-24.909999999999968</v>
      </c>
      <c r="X82" s="61">
        <v>-13.53000000000003</v>
      </c>
      <c r="Y82" s="61">
        <v>-290.68700000000001</v>
      </c>
      <c r="AA82" s="61">
        <v>-406</v>
      </c>
      <c r="AB82" s="60">
        <v>115.31</v>
      </c>
      <c r="AD82" s="61">
        <v>-318.60000000000002</v>
      </c>
      <c r="AE82" s="60">
        <v>27.91</v>
      </c>
    </row>
    <row r="83" spans="1:31" ht="18" customHeight="1" collapsed="1" x14ac:dyDescent="0.2">
      <c r="A83" s="35"/>
      <c r="B83" s="35"/>
      <c r="C83" s="4">
        <v>0.28401477832512317</v>
      </c>
      <c r="D83" s="4">
        <v>8.7602008788449467E-2</v>
      </c>
      <c r="F83" s="45" t="s">
        <v>314</v>
      </c>
      <c r="H83" s="62">
        <v>-354.029</v>
      </c>
      <c r="I83" s="62">
        <v>-310.71899999999999</v>
      </c>
      <c r="J83" s="62">
        <v>-310.71899999999999</v>
      </c>
      <c r="K83" s="108">
        <v>-406</v>
      </c>
      <c r="L83" s="108">
        <v>-318.60000000000002</v>
      </c>
      <c r="M83" s="62">
        <v>-24.803000000000001</v>
      </c>
      <c r="N83" s="62">
        <v>-24.623999999999999</v>
      </c>
      <c r="O83" s="62">
        <v>-24.002000000000002</v>
      </c>
      <c r="P83" s="62">
        <v>-26.566000000000003</v>
      </c>
      <c r="Q83" s="62">
        <v>-20.075999999999993</v>
      </c>
      <c r="R83" s="62">
        <v>-31.079000000000008</v>
      </c>
      <c r="S83" s="62">
        <v>-23.370000000000005</v>
      </c>
      <c r="T83" s="62">
        <v>-19.691999999999979</v>
      </c>
      <c r="U83" s="62">
        <v>-27.740000000000009</v>
      </c>
      <c r="V83" s="62">
        <v>-30.295000000000016</v>
      </c>
      <c r="W83" s="62">
        <v>-24.909999999999968</v>
      </c>
      <c r="X83" s="62">
        <v>-13.53000000000003</v>
      </c>
      <c r="Y83" s="62">
        <v>-290.68700000000001</v>
      </c>
      <c r="AA83" s="62">
        <v>-406</v>
      </c>
      <c r="AB83" s="60">
        <v>115.31</v>
      </c>
      <c r="AD83" s="62">
        <v>-318.60000000000002</v>
      </c>
      <c r="AE83" s="60">
        <v>27.91</v>
      </c>
    </row>
    <row r="84" spans="1:31" ht="12.95" customHeight="1" x14ac:dyDescent="0.2">
      <c r="A84" s="35"/>
      <c r="B84" s="35"/>
      <c r="C84" s="4"/>
      <c r="D84" s="4"/>
      <c r="F84" s="39" t="s">
        <v>222</v>
      </c>
      <c r="H84" s="56">
        <v>0.50139927090621206</v>
      </c>
      <c r="I84" s="56">
        <v>0.53915534602217219</v>
      </c>
      <c r="J84" s="56">
        <v>0.53915534602217219</v>
      </c>
      <c r="K84" s="109">
        <v>0.56388888888888888</v>
      </c>
      <c r="L84" s="109">
        <v>0.54</v>
      </c>
      <c r="M84" s="56">
        <v>0.59180167497792946</v>
      </c>
      <c r="N84" s="56">
        <v>0.58247191011235944</v>
      </c>
      <c r="O84" s="56">
        <v>0.87216569767441887</v>
      </c>
      <c r="P84" s="56">
        <v>0.405786032871021</v>
      </c>
      <c r="Q84" s="56">
        <v>0.57527652014442077</v>
      </c>
      <c r="R84" s="56">
        <v>0.52126731743316224</v>
      </c>
      <c r="S84" s="56">
        <v>0.65681121947106691</v>
      </c>
      <c r="T84" s="56">
        <v>0.60967831821418483</v>
      </c>
      <c r="U84" s="56">
        <v>0.55320676451818773</v>
      </c>
      <c r="V84" s="56">
        <v>0.39026872439646543</v>
      </c>
      <c r="W84" s="56">
        <v>0.33847868032720019</v>
      </c>
      <c r="X84" s="56">
        <v>0.18393648549444019</v>
      </c>
      <c r="Y84" s="56">
        <v>0.47304945841795554</v>
      </c>
      <c r="AA84" s="56">
        <v>0.56388888888888888</v>
      </c>
      <c r="AB84" s="57"/>
      <c r="AD84" s="56">
        <v>0.54</v>
      </c>
      <c r="AE84" s="57"/>
    </row>
    <row r="85" spans="1:31" ht="18" hidden="1" customHeight="1" outlineLevel="2" x14ac:dyDescent="0.2">
      <c r="A85" s="33" t="s">
        <v>43</v>
      </c>
      <c r="B85" s="33" t="s">
        <v>17</v>
      </c>
      <c r="C85" s="4"/>
      <c r="D85" s="4"/>
      <c r="F85" s="38" t="s">
        <v>44</v>
      </c>
      <c r="H85" s="66">
        <v>0</v>
      </c>
      <c r="I85" s="66">
        <v>0</v>
      </c>
      <c r="J85" s="66">
        <v>0</v>
      </c>
      <c r="K85" s="86"/>
      <c r="L85" s="86"/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AA85" s="70"/>
      <c r="AB85" s="71"/>
      <c r="AD85" s="70"/>
      <c r="AE85" s="71"/>
    </row>
    <row r="86" spans="1:31" ht="18" hidden="1" customHeight="1" outlineLevel="2" x14ac:dyDescent="0.2">
      <c r="A86" s="33" t="s">
        <v>43</v>
      </c>
      <c r="B86" s="33" t="s">
        <v>17</v>
      </c>
      <c r="C86" s="4"/>
      <c r="D86" s="4"/>
      <c r="F86" s="38" t="s">
        <v>45</v>
      </c>
      <c r="H86" s="66">
        <v>0</v>
      </c>
      <c r="I86" s="66">
        <v>0</v>
      </c>
      <c r="J86" s="66">
        <v>0</v>
      </c>
      <c r="K86" s="86"/>
      <c r="L86" s="86"/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AA86" s="70"/>
      <c r="AB86" s="71"/>
      <c r="AD86" s="70"/>
      <c r="AE86" s="71"/>
    </row>
    <row r="87" spans="1:31" ht="18" hidden="1" customHeight="1" outlineLevel="2" x14ac:dyDescent="0.2">
      <c r="A87" s="33" t="s">
        <v>46</v>
      </c>
      <c r="B87" s="33" t="s">
        <v>17</v>
      </c>
      <c r="C87" s="4">
        <v>-0.99700149925037485</v>
      </c>
      <c r="D87" s="4">
        <v>-0.99700149925037485</v>
      </c>
      <c r="F87" s="38" t="s">
        <v>47</v>
      </c>
      <c r="H87" s="66">
        <v>-1.1339999999999999</v>
      </c>
      <c r="I87" s="66">
        <v>-21.161000000000001</v>
      </c>
      <c r="J87" s="66">
        <v>-21.161000000000001</v>
      </c>
      <c r="K87" s="86">
        <v>0</v>
      </c>
      <c r="L87" s="8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-52</v>
      </c>
      <c r="T87" s="66">
        <v>52</v>
      </c>
      <c r="U87" s="66">
        <v>-1.3340000000000001</v>
      </c>
      <c r="V87" s="66">
        <v>0</v>
      </c>
      <c r="W87" s="66">
        <v>0</v>
      </c>
      <c r="X87" s="66">
        <v>0</v>
      </c>
      <c r="Y87" s="66">
        <v>-1.3340000000000001</v>
      </c>
      <c r="AA87" s="66">
        <v>0</v>
      </c>
      <c r="AB87" s="65">
        <v>-1.33</v>
      </c>
      <c r="AD87" s="66">
        <v>0</v>
      </c>
      <c r="AE87" s="65">
        <v>-1.33</v>
      </c>
    </row>
    <row r="88" spans="1:31" ht="18" hidden="1" customHeight="1" outlineLevel="1" x14ac:dyDescent="0.2">
      <c r="A88" s="35"/>
      <c r="B88" s="35"/>
      <c r="C88" s="4">
        <v>-0.99700149925037485</v>
      </c>
      <c r="D88" s="4">
        <v>-0.99700149925037485</v>
      </c>
      <c r="F88" s="106" t="s">
        <v>48</v>
      </c>
      <c r="H88" s="61">
        <v>-1.1339999999999999</v>
      </c>
      <c r="I88" s="61">
        <v>-21.161000000000001</v>
      </c>
      <c r="J88" s="61">
        <v>-21.161000000000001</v>
      </c>
      <c r="K88" s="86">
        <v>0</v>
      </c>
      <c r="L88" s="86">
        <v>0</v>
      </c>
      <c r="M88" s="61">
        <v>0</v>
      </c>
      <c r="N88" s="61">
        <v>0</v>
      </c>
      <c r="O88" s="61">
        <v>0</v>
      </c>
      <c r="P88" s="61">
        <v>0</v>
      </c>
      <c r="Q88" s="61">
        <v>0</v>
      </c>
      <c r="R88" s="61">
        <v>0</v>
      </c>
      <c r="S88" s="61">
        <v>-52</v>
      </c>
      <c r="T88" s="61">
        <v>52</v>
      </c>
      <c r="U88" s="61">
        <v>-1.3340000000000001</v>
      </c>
      <c r="V88" s="61">
        <v>0</v>
      </c>
      <c r="W88" s="61">
        <v>0</v>
      </c>
      <c r="X88" s="61">
        <v>0</v>
      </c>
      <c r="Y88" s="61">
        <v>-1.3340000000000001</v>
      </c>
      <c r="AA88" s="61">
        <v>0</v>
      </c>
      <c r="AB88" s="60">
        <v>-1.33</v>
      </c>
      <c r="AD88" s="61">
        <v>0</v>
      </c>
      <c r="AE88" s="60">
        <v>-1.33</v>
      </c>
    </row>
    <row r="89" spans="1:31" ht="18" hidden="1" customHeight="1" outlineLevel="1" x14ac:dyDescent="0.2">
      <c r="A89" s="30" t="s">
        <v>50</v>
      </c>
      <c r="B89" s="30" t="s">
        <v>17</v>
      </c>
      <c r="C89" s="4">
        <v>-0.99955575299866728</v>
      </c>
      <c r="D89" s="4">
        <v>-0.99955575299866728</v>
      </c>
      <c r="F89" s="106" t="s">
        <v>52</v>
      </c>
      <c r="H89" s="61">
        <v>-0.108</v>
      </c>
      <c r="I89" s="61">
        <v>-0.21</v>
      </c>
      <c r="J89" s="61">
        <v>-0.21</v>
      </c>
      <c r="K89" s="86">
        <v>0</v>
      </c>
      <c r="L89" s="86">
        <v>0</v>
      </c>
      <c r="M89" s="61">
        <v>0</v>
      </c>
      <c r="N89" s="61">
        <v>0</v>
      </c>
      <c r="O89" s="61">
        <v>0</v>
      </c>
      <c r="P89" s="61">
        <v>0</v>
      </c>
      <c r="Q89" s="61">
        <v>0</v>
      </c>
      <c r="R89" s="61">
        <v>0</v>
      </c>
      <c r="S89" s="61">
        <v>0</v>
      </c>
      <c r="T89" s="61">
        <v>-0.19</v>
      </c>
      <c r="U89" s="61">
        <v>-1.835</v>
      </c>
      <c r="V89" s="61">
        <v>-0.12000000000000011</v>
      </c>
      <c r="W89" s="61">
        <v>0</v>
      </c>
      <c r="X89" s="61">
        <v>-0.10599999999999987</v>
      </c>
      <c r="Y89" s="61">
        <v>-2.2509999999999999</v>
      </c>
      <c r="AA89" s="61">
        <v>0</v>
      </c>
      <c r="AB89" s="60">
        <v>-2.25</v>
      </c>
      <c r="AD89" s="61">
        <v>0</v>
      </c>
      <c r="AE89" s="60">
        <v>-2.25</v>
      </c>
    </row>
    <row r="90" spans="1:31" ht="18" hidden="1" customHeight="1" outlineLevel="1" x14ac:dyDescent="0.2">
      <c r="A90" s="30" t="s">
        <v>49</v>
      </c>
      <c r="B90" s="30" t="s">
        <v>17</v>
      </c>
      <c r="C90" s="4">
        <v>0</v>
      </c>
      <c r="D90" s="4">
        <v>0</v>
      </c>
      <c r="F90" s="106" t="s">
        <v>51</v>
      </c>
      <c r="H90" s="61">
        <v>0</v>
      </c>
      <c r="I90" s="61">
        <v>0</v>
      </c>
      <c r="J90" s="61">
        <v>0</v>
      </c>
      <c r="K90" s="86">
        <v>0</v>
      </c>
      <c r="L90" s="86">
        <v>0</v>
      </c>
      <c r="M90" s="61">
        <v>0</v>
      </c>
      <c r="N90" s="61">
        <v>0</v>
      </c>
      <c r="O90" s="61">
        <v>0</v>
      </c>
      <c r="P90" s="61">
        <v>0</v>
      </c>
      <c r="Q90" s="61">
        <v>0</v>
      </c>
      <c r="R90" s="61">
        <v>0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0</v>
      </c>
      <c r="Y90" s="61">
        <v>0</v>
      </c>
      <c r="AA90" s="61">
        <v>0</v>
      </c>
      <c r="AB90" s="60">
        <v>0</v>
      </c>
      <c r="AD90" s="61">
        <v>0</v>
      </c>
      <c r="AE90" s="60">
        <v>0</v>
      </c>
    </row>
    <row r="91" spans="1:31" ht="18" hidden="1" customHeight="1" outlineLevel="1" x14ac:dyDescent="0.2">
      <c r="A91" s="30" t="s">
        <v>213</v>
      </c>
      <c r="B91" s="30" t="s">
        <v>17</v>
      </c>
      <c r="C91" s="4">
        <v>-0.99980698706813353</v>
      </c>
      <c r="D91" s="4">
        <v>-0.99980698706813353</v>
      </c>
      <c r="F91" s="106" t="s">
        <v>215</v>
      </c>
      <c r="H91" s="61">
        <v>-5.6219999999999999</v>
      </c>
      <c r="I91" s="61">
        <v>-5.58</v>
      </c>
      <c r="J91" s="61">
        <v>-5.58</v>
      </c>
      <c r="K91" s="86">
        <v>0</v>
      </c>
      <c r="L91" s="86">
        <v>0</v>
      </c>
      <c r="M91" s="61">
        <v>-0.41399999999999998</v>
      </c>
      <c r="N91" s="61">
        <v>-8.0000000000000016E-2</v>
      </c>
      <c r="O91" s="61">
        <v>-0.38900000000000001</v>
      </c>
      <c r="P91" s="61">
        <v>-0.34400000000000008</v>
      </c>
      <c r="Q91" s="61">
        <v>-5.4999999999999938E-2</v>
      </c>
      <c r="R91" s="61">
        <v>-0.875</v>
      </c>
      <c r="S91" s="61">
        <v>-0.21499999999999986</v>
      </c>
      <c r="T91" s="61">
        <v>-0.91000000000000014</v>
      </c>
      <c r="U91" s="61">
        <v>-0.37299999999999978</v>
      </c>
      <c r="V91" s="61">
        <v>-0.59800000000000031</v>
      </c>
      <c r="W91" s="61">
        <v>-0.68799999999999972</v>
      </c>
      <c r="X91" s="61">
        <v>-0.24000000000000021</v>
      </c>
      <c r="Y91" s="61">
        <v>-5.181</v>
      </c>
      <c r="AA91" s="61">
        <v>0</v>
      </c>
      <c r="AB91" s="60">
        <v>-5.18</v>
      </c>
      <c r="AD91" s="61">
        <v>0</v>
      </c>
      <c r="AE91" s="60">
        <v>-5.18</v>
      </c>
    </row>
    <row r="92" spans="1:31" ht="18" hidden="1" customHeight="1" outlineLevel="1" x14ac:dyDescent="0.2">
      <c r="A92" s="30" t="s">
        <v>214</v>
      </c>
      <c r="B92" s="30" t="s">
        <v>17</v>
      </c>
      <c r="C92" s="4">
        <v>0</v>
      </c>
      <c r="D92" s="4">
        <v>0</v>
      </c>
      <c r="F92" s="106" t="s">
        <v>216</v>
      </c>
      <c r="H92" s="61">
        <v>0</v>
      </c>
      <c r="I92" s="61">
        <v>0</v>
      </c>
      <c r="J92" s="61">
        <v>0</v>
      </c>
      <c r="K92" s="86">
        <v>0</v>
      </c>
      <c r="L92" s="86">
        <v>0</v>
      </c>
      <c r="M92" s="61">
        <v>0</v>
      </c>
      <c r="N92" s="61">
        <v>0</v>
      </c>
      <c r="O92" s="61">
        <v>0</v>
      </c>
      <c r="P92" s="61">
        <v>0</v>
      </c>
      <c r="Q92" s="61">
        <v>0</v>
      </c>
      <c r="R92" s="61">
        <v>0</v>
      </c>
      <c r="S92" s="61">
        <v>0</v>
      </c>
      <c r="T92" s="61">
        <v>0</v>
      </c>
      <c r="U92" s="61">
        <v>0</v>
      </c>
      <c r="V92" s="61">
        <v>0</v>
      </c>
      <c r="W92" s="61">
        <v>0</v>
      </c>
      <c r="X92" s="61">
        <v>0</v>
      </c>
      <c r="Y92" s="61">
        <v>0</v>
      </c>
      <c r="AA92" s="61">
        <v>0</v>
      </c>
      <c r="AB92" s="60">
        <v>0</v>
      </c>
      <c r="AD92" s="61">
        <v>0</v>
      </c>
      <c r="AE92" s="60">
        <v>0</v>
      </c>
    </row>
    <row r="93" spans="1:31" ht="18" hidden="1" customHeight="1" outlineLevel="2" x14ac:dyDescent="0.2">
      <c r="A93" s="33" t="s">
        <v>53</v>
      </c>
      <c r="B93" s="33" t="s">
        <v>17</v>
      </c>
      <c r="C93" s="4">
        <v>-1.0000714336738339</v>
      </c>
      <c r="D93" s="4">
        <v>-1.0000714336738339</v>
      </c>
      <c r="F93" s="38" t="s">
        <v>55</v>
      </c>
      <c r="H93" s="66">
        <v>0</v>
      </c>
      <c r="I93" s="66">
        <v>-2.4189999999999801</v>
      </c>
      <c r="J93" s="66">
        <v>-2.4189999999999801</v>
      </c>
      <c r="K93" s="86">
        <v>0</v>
      </c>
      <c r="L93" s="86">
        <v>0</v>
      </c>
      <c r="M93" s="66">
        <v>-0.78500000000000403</v>
      </c>
      <c r="N93" s="66">
        <v>-1.1329999999999858</v>
      </c>
      <c r="O93" s="66">
        <v>-0.89400000000002011</v>
      </c>
      <c r="P93" s="66">
        <v>-0.39299999999999979</v>
      </c>
      <c r="Q93" s="66">
        <v>-0.67599999999998994</v>
      </c>
      <c r="R93" s="66">
        <v>-0.69800000000001061</v>
      </c>
      <c r="S93" s="66">
        <v>-0.62599999999996925</v>
      </c>
      <c r="T93" s="66">
        <v>-0.84199999999999076</v>
      </c>
      <c r="U93" s="66">
        <v>-1.1929999999999792</v>
      </c>
      <c r="V93" s="66">
        <v>-32.956000000000046</v>
      </c>
      <c r="W93" s="66">
        <v>-1.2480000000000047</v>
      </c>
      <c r="X93" s="66">
        <v>-0.55299999999999727</v>
      </c>
      <c r="Y93" s="66">
        <v>-41.997</v>
      </c>
      <c r="AA93" s="66">
        <v>0</v>
      </c>
      <c r="AB93" s="60">
        <v>-42</v>
      </c>
      <c r="AD93" s="66">
        <v>0</v>
      </c>
      <c r="AE93" s="60">
        <v>-42</v>
      </c>
    </row>
    <row r="94" spans="1:31" ht="18" hidden="1" customHeight="1" outlineLevel="2" x14ac:dyDescent="0.2">
      <c r="A94" s="33" t="s">
        <v>54</v>
      </c>
      <c r="B94" s="33" t="s">
        <v>17</v>
      </c>
      <c r="C94" s="4">
        <v>0</v>
      </c>
      <c r="D94" s="4">
        <v>0</v>
      </c>
      <c r="F94" s="38" t="s">
        <v>56</v>
      </c>
      <c r="H94" s="66">
        <v>0</v>
      </c>
      <c r="I94" s="66">
        <v>0</v>
      </c>
      <c r="J94" s="66">
        <v>0</v>
      </c>
      <c r="K94" s="86">
        <v>0</v>
      </c>
      <c r="L94" s="8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AA94" s="66">
        <v>0</v>
      </c>
      <c r="AB94" s="60">
        <v>0</v>
      </c>
      <c r="AD94" s="66">
        <v>0</v>
      </c>
      <c r="AE94" s="60">
        <v>0</v>
      </c>
    </row>
    <row r="95" spans="1:31" ht="18" hidden="1" customHeight="1" outlineLevel="1" x14ac:dyDescent="0.2">
      <c r="A95" s="35"/>
      <c r="B95" s="35"/>
      <c r="C95" s="4">
        <v>-1.0007278020378418</v>
      </c>
      <c r="D95" s="4">
        <v>-1.0007278020378418</v>
      </c>
      <c r="F95" s="106" t="s">
        <v>58</v>
      </c>
      <c r="H95" s="61">
        <v>-2.7730000000000565</v>
      </c>
      <c r="I95" s="61">
        <v>47.568999999999996</v>
      </c>
      <c r="J95" s="61">
        <v>47.568999999999996</v>
      </c>
      <c r="K95" s="86">
        <v>0</v>
      </c>
      <c r="L95" s="86">
        <v>0</v>
      </c>
      <c r="M95" s="61">
        <v>0.61900000000000177</v>
      </c>
      <c r="N95" s="61">
        <v>-3.8329999999999931</v>
      </c>
      <c r="O95" s="61">
        <v>-3.1940000000000053</v>
      </c>
      <c r="P95" s="61">
        <v>0.29199999999997917</v>
      </c>
      <c r="Q95" s="61">
        <v>12.273000000000046</v>
      </c>
      <c r="R95" s="61">
        <v>-0.67700000000002092</v>
      </c>
      <c r="S95" s="61">
        <v>30.120999999999949</v>
      </c>
      <c r="T95" s="61">
        <v>-34.120000000000061</v>
      </c>
      <c r="U95" s="61">
        <v>11.549000000000062</v>
      </c>
      <c r="V95" s="61">
        <v>-16.61599999999989</v>
      </c>
      <c r="W95" s="61">
        <v>6.1759999999999424</v>
      </c>
      <c r="X95" s="61">
        <v>-5.3380000000000258</v>
      </c>
      <c r="Y95" s="61">
        <v>-2.7480000000000109</v>
      </c>
      <c r="AA95" s="61">
        <v>0</v>
      </c>
      <c r="AB95" s="60">
        <v>-2.75</v>
      </c>
      <c r="AD95" s="61">
        <v>0</v>
      </c>
      <c r="AE95" s="60">
        <v>-2.75</v>
      </c>
    </row>
    <row r="96" spans="1:31" ht="18" customHeight="1" collapsed="1" x14ac:dyDescent="0.2">
      <c r="A96" s="35"/>
      <c r="B96" s="35"/>
      <c r="C96" s="4">
        <v>-0.99965259683863039</v>
      </c>
      <c r="D96" s="4">
        <v>-0.99965259683863039</v>
      </c>
      <c r="F96" s="45" t="s">
        <v>26</v>
      </c>
      <c r="H96" s="62">
        <v>-9.6370000000000573</v>
      </c>
      <c r="I96" s="62">
        <v>20.617999999999995</v>
      </c>
      <c r="J96" s="62">
        <v>20.617999999999995</v>
      </c>
      <c r="K96" s="108">
        <v>0</v>
      </c>
      <c r="L96" s="108">
        <v>0</v>
      </c>
      <c r="M96" s="62">
        <v>0.20500000000000185</v>
      </c>
      <c r="N96" s="62">
        <v>-3.9129999999999932</v>
      </c>
      <c r="O96" s="62">
        <v>-3.5830000000000055</v>
      </c>
      <c r="P96" s="62">
        <v>-5.2000000000020918E-2</v>
      </c>
      <c r="Q96" s="62">
        <v>12.218000000000046</v>
      </c>
      <c r="R96" s="62">
        <v>-1.5520000000000209</v>
      </c>
      <c r="S96" s="62">
        <v>-22.094000000000051</v>
      </c>
      <c r="T96" s="62">
        <v>16.779999999999944</v>
      </c>
      <c r="U96" s="62">
        <v>8.0070000000000618</v>
      </c>
      <c r="V96" s="62">
        <v>-17.333999999999889</v>
      </c>
      <c r="W96" s="62">
        <v>5.4879999999999427</v>
      </c>
      <c r="X96" s="62">
        <v>-5.6840000000000259</v>
      </c>
      <c r="Y96" s="62">
        <v>-11.51400000000001</v>
      </c>
      <c r="AA96" s="62">
        <v>0</v>
      </c>
      <c r="AB96" s="60">
        <v>-11.51</v>
      </c>
      <c r="AD96" s="62">
        <v>0</v>
      </c>
      <c r="AE96" s="60">
        <v>-11.51</v>
      </c>
    </row>
    <row r="97" spans="1:31" ht="18" customHeight="1" x14ac:dyDescent="0.2">
      <c r="A97" s="30" t="s">
        <v>16</v>
      </c>
      <c r="B97" s="30" t="s">
        <v>17</v>
      </c>
      <c r="C97" s="4">
        <v>5.9487821553009398E-2</v>
      </c>
      <c r="D97" s="4">
        <v>3.4467537431441229E-2</v>
      </c>
      <c r="F97" s="95" t="s">
        <v>118</v>
      </c>
      <c r="H97" s="64">
        <v>-1035.902</v>
      </c>
      <c r="I97" s="64">
        <v>-1059.03</v>
      </c>
      <c r="J97" s="64">
        <v>-1059.03</v>
      </c>
      <c r="K97" s="89">
        <v>-1214.03</v>
      </c>
      <c r="L97" s="89">
        <v>-1182.5619999999999</v>
      </c>
      <c r="M97" s="64">
        <v>-99.343999999999994</v>
      </c>
      <c r="N97" s="64">
        <v>-103.60599999999999</v>
      </c>
      <c r="O97" s="64">
        <v>-114.29500000000002</v>
      </c>
      <c r="P97" s="64">
        <v>-90.735000000000014</v>
      </c>
      <c r="Q97" s="64">
        <v>-60.753999999999962</v>
      </c>
      <c r="R97" s="64">
        <v>-103.01100000000002</v>
      </c>
      <c r="S97" s="64">
        <v>-95.527000000000044</v>
      </c>
      <c r="T97" s="64">
        <v>-73.668000000000006</v>
      </c>
      <c r="U97" s="64">
        <v>-89.472999999999956</v>
      </c>
      <c r="V97" s="64">
        <v>-126.67899999999997</v>
      </c>
      <c r="W97" s="64">
        <v>-97.302999999999997</v>
      </c>
      <c r="X97" s="64">
        <v>-87.410000000000082</v>
      </c>
      <c r="Y97" s="64">
        <v>-1141.8050000000001</v>
      </c>
      <c r="AA97" s="64">
        <v>-1214.03</v>
      </c>
      <c r="AB97" s="60">
        <v>72.22</v>
      </c>
      <c r="AD97" s="64">
        <v>-1182.5619999999999</v>
      </c>
      <c r="AE97" s="60">
        <v>40.76</v>
      </c>
    </row>
    <row r="98" spans="1:31" ht="12.95" customHeight="1" x14ac:dyDescent="0.2">
      <c r="A98" s="35"/>
      <c r="B98" s="35"/>
      <c r="C98" s="4"/>
      <c r="D98" s="4"/>
      <c r="F98" s="39" t="s">
        <v>223</v>
      </c>
      <c r="H98" s="56">
        <v>0.1833940455738369</v>
      </c>
      <c r="I98" s="56">
        <v>0.17485477888183948</v>
      </c>
      <c r="J98" s="56">
        <v>0.17485477888183948</v>
      </c>
      <c r="K98" s="109">
        <v>0.18664813145853454</v>
      </c>
      <c r="L98" s="109">
        <v>0.17544969516379169</v>
      </c>
      <c r="M98" s="56">
        <v>0.21184980466417591</v>
      </c>
      <c r="N98" s="56">
        <v>0.20555807969080775</v>
      </c>
      <c r="O98" s="56">
        <v>0.22097263144870044</v>
      </c>
      <c r="P98" s="56">
        <v>0.15475997578011072</v>
      </c>
      <c r="Q98" s="56">
        <v>9.8066878014449896E-2</v>
      </c>
      <c r="R98" s="56">
        <v>0.17597227109818897</v>
      </c>
      <c r="S98" s="56">
        <v>0.17176110557715205</v>
      </c>
      <c r="T98" s="56">
        <v>0.13250522067115986</v>
      </c>
      <c r="U98" s="56">
        <v>0.15257858889574788</v>
      </c>
      <c r="V98" s="56">
        <v>0.20006601535725663</v>
      </c>
      <c r="W98" s="56">
        <v>0.16508234352016657</v>
      </c>
      <c r="X98" s="56">
        <v>0.14410585457854694</v>
      </c>
      <c r="Y98" s="56">
        <v>0.16768824163684626</v>
      </c>
      <c r="AA98" s="56">
        <v>0.18664813145853454</v>
      </c>
      <c r="AB98" s="57"/>
      <c r="AD98" s="56">
        <v>0.17544969516379169</v>
      </c>
      <c r="AE98" s="57"/>
    </row>
    <row r="99" spans="1:31" ht="6.95" customHeight="1" x14ac:dyDescent="0.2">
      <c r="C99" s="4"/>
      <c r="D99" s="4"/>
      <c r="F99" s="96"/>
      <c r="K99" s="110"/>
      <c r="L99" s="110"/>
      <c r="AB99" s="7"/>
      <c r="AE99" s="7"/>
    </row>
    <row r="100" spans="1:31" ht="18" hidden="1" customHeight="1" outlineLevel="1" x14ac:dyDescent="0.2">
      <c r="A100" s="30" t="s">
        <v>36</v>
      </c>
      <c r="B100" s="30" t="s">
        <v>59</v>
      </c>
      <c r="C100" s="4"/>
      <c r="D100" s="4"/>
      <c r="F100" s="51" t="s">
        <v>235</v>
      </c>
      <c r="G100" s="34"/>
      <c r="H100" s="72">
        <v>0.88</v>
      </c>
      <c r="I100" s="72">
        <v>0.84</v>
      </c>
      <c r="J100" s="72">
        <v>0.84</v>
      </c>
      <c r="K100" s="111">
        <v>1.88</v>
      </c>
      <c r="L100" s="111">
        <v>2.7730000000000001</v>
      </c>
      <c r="M100" s="72">
        <v>1.8719999999999999</v>
      </c>
      <c r="N100" s="72">
        <v>2.8680000000000003</v>
      </c>
      <c r="O100" s="72">
        <v>2.6399999999999997</v>
      </c>
      <c r="P100" s="72">
        <v>2.8679999999999994</v>
      </c>
      <c r="Q100" s="72">
        <v>2.8680000000000003</v>
      </c>
      <c r="R100" s="72">
        <v>2.8680000000000021</v>
      </c>
      <c r="S100" s="72">
        <v>2.8679999999999986</v>
      </c>
      <c r="T100" s="72">
        <v>2.8679999999999986</v>
      </c>
      <c r="U100" s="72">
        <v>2.8680000000000021</v>
      </c>
      <c r="V100" s="72">
        <v>2.867999999999995</v>
      </c>
      <c r="W100" s="72">
        <v>2.8680000000000057</v>
      </c>
      <c r="X100" s="72">
        <v>2.639999999999997</v>
      </c>
      <c r="Y100" s="72">
        <v>2.7469999999999999</v>
      </c>
      <c r="Z100" s="34"/>
      <c r="AA100" s="72">
        <v>1.88</v>
      </c>
      <c r="AB100" s="73">
        <v>0.87</v>
      </c>
      <c r="AC100" s="34"/>
      <c r="AD100" s="72">
        <v>2.7730000000000001</v>
      </c>
      <c r="AE100" s="73">
        <v>-0.03</v>
      </c>
    </row>
    <row r="101" spans="1:31" ht="18" hidden="1" customHeight="1" outlineLevel="1" x14ac:dyDescent="0.2">
      <c r="A101" s="30" t="s">
        <v>36</v>
      </c>
      <c r="B101" s="30" t="s">
        <v>60</v>
      </c>
      <c r="C101" s="4"/>
      <c r="D101" s="4"/>
      <c r="F101" s="51" t="s">
        <v>236</v>
      </c>
      <c r="G101" s="34"/>
      <c r="H101" s="72">
        <v>1.02</v>
      </c>
      <c r="I101" s="72">
        <v>0.71399999999999997</v>
      </c>
      <c r="J101" s="72">
        <v>0.71399999999999997</v>
      </c>
      <c r="K101" s="111">
        <v>1</v>
      </c>
      <c r="L101" s="111">
        <v>1</v>
      </c>
      <c r="M101" s="72">
        <v>0.996</v>
      </c>
      <c r="N101" s="72">
        <v>0.996</v>
      </c>
      <c r="O101" s="72">
        <v>0.996</v>
      </c>
      <c r="P101" s="72">
        <v>0.996</v>
      </c>
      <c r="Q101" s="72">
        <v>0.99599999999999955</v>
      </c>
      <c r="R101" s="72">
        <v>0.71999999999999975</v>
      </c>
      <c r="S101" s="72">
        <v>0.99600000000000133</v>
      </c>
      <c r="T101" s="72">
        <v>0.99599999999999955</v>
      </c>
      <c r="U101" s="72">
        <v>0.99599999999999866</v>
      </c>
      <c r="V101" s="72">
        <v>0.6720000000000006</v>
      </c>
      <c r="W101" s="72">
        <v>0.59999999999999964</v>
      </c>
      <c r="X101" s="72">
        <v>0</v>
      </c>
      <c r="Y101" s="72">
        <v>0.83</v>
      </c>
      <c r="Z101" s="34"/>
      <c r="AA101" s="72">
        <v>1</v>
      </c>
      <c r="AB101" s="73">
        <v>-0.17</v>
      </c>
      <c r="AC101" s="34"/>
      <c r="AD101" s="72">
        <v>1</v>
      </c>
      <c r="AE101" s="73">
        <v>-0.17</v>
      </c>
    </row>
    <row r="102" spans="1:31" ht="18" hidden="1" customHeight="1" outlineLevel="1" x14ac:dyDescent="0.2">
      <c r="A102" s="30" t="s">
        <v>36</v>
      </c>
      <c r="B102" s="30" t="s">
        <v>61</v>
      </c>
      <c r="C102" s="4"/>
      <c r="D102" s="4"/>
      <c r="F102" s="51" t="s">
        <v>237</v>
      </c>
      <c r="G102" s="34"/>
      <c r="H102" s="72">
        <v>44.98</v>
      </c>
      <c r="I102" s="72">
        <v>43.582000000000001</v>
      </c>
      <c r="J102" s="72">
        <v>43.582000000000001</v>
      </c>
      <c r="K102" s="111">
        <v>47.203000000000003</v>
      </c>
      <c r="L102" s="111">
        <v>49.621000000000002</v>
      </c>
      <c r="M102" s="72">
        <v>49.416000000000004</v>
      </c>
      <c r="N102" s="72">
        <v>47.255999999999993</v>
      </c>
      <c r="O102" s="72">
        <v>45.563999999999993</v>
      </c>
      <c r="P102" s="72">
        <v>43.872000000000014</v>
      </c>
      <c r="Q102" s="72">
        <v>45.899999999999977</v>
      </c>
      <c r="R102" s="72">
        <v>46.24799999999999</v>
      </c>
      <c r="S102" s="72">
        <v>47.988000000000056</v>
      </c>
      <c r="T102" s="72">
        <v>48.887999999999977</v>
      </c>
      <c r="U102" s="72">
        <v>48.599999999999966</v>
      </c>
      <c r="V102" s="72">
        <v>51</v>
      </c>
      <c r="W102" s="72">
        <v>49.152000000000044</v>
      </c>
      <c r="X102" s="72">
        <v>51.203999999999951</v>
      </c>
      <c r="Y102" s="72">
        <v>47.923999999999999</v>
      </c>
      <c r="Z102" s="34"/>
      <c r="AA102" s="72">
        <v>47.203000000000003</v>
      </c>
      <c r="AB102" s="73">
        <v>0.72</v>
      </c>
      <c r="AC102" s="34"/>
      <c r="AD102" s="72">
        <v>49.621000000000002</v>
      </c>
      <c r="AE102" s="73">
        <v>-1.7</v>
      </c>
    </row>
    <row r="103" spans="1:31" ht="18" hidden="1" customHeight="1" outlineLevel="1" x14ac:dyDescent="0.2">
      <c r="A103" s="30" t="s">
        <v>36</v>
      </c>
      <c r="B103" s="30" t="s">
        <v>62</v>
      </c>
      <c r="C103" s="4"/>
      <c r="D103" s="4"/>
      <c r="F103" s="51" t="s">
        <v>238</v>
      </c>
      <c r="G103" s="34"/>
      <c r="H103" s="72">
        <v>5.5</v>
      </c>
      <c r="I103" s="72">
        <v>4.1660000000000004</v>
      </c>
      <c r="J103" s="72">
        <v>4.1660000000000004</v>
      </c>
      <c r="K103" s="111">
        <v>2</v>
      </c>
      <c r="L103" s="111">
        <v>3.1480000000000001</v>
      </c>
      <c r="M103" s="72">
        <v>2.58</v>
      </c>
      <c r="N103" s="72">
        <v>3.1199999999999992</v>
      </c>
      <c r="O103" s="72">
        <v>2.9879999999999995</v>
      </c>
      <c r="P103" s="72">
        <v>2.9880000000000013</v>
      </c>
      <c r="Q103" s="72">
        <v>2.4359999999999982</v>
      </c>
      <c r="R103" s="72">
        <v>2.9880000000000031</v>
      </c>
      <c r="S103" s="72">
        <v>2.6639999999999979</v>
      </c>
      <c r="T103" s="72">
        <v>2.9879999999999995</v>
      </c>
      <c r="U103" s="72">
        <v>3.468</v>
      </c>
      <c r="V103" s="72">
        <v>4.6679999999999993</v>
      </c>
      <c r="W103" s="72">
        <v>4.9799999999999969</v>
      </c>
      <c r="X103" s="72">
        <v>4.980000000000004</v>
      </c>
      <c r="Y103" s="72">
        <v>3.4039999999999999</v>
      </c>
      <c r="Z103" s="34"/>
      <c r="AA103" s="72">
        <v>2</v>
      </c>
      <c r="AB103" s="73">
        <v>1.4</v>
      </c>
      <c r="AC103" s="34"/>
      <c r="AD103" s="72">
        <v>3.1480000000000001</v>
      </c>
      <c r="AE103" s="73">
        <v>0.26</v>
      </c>
    </row>
    <row r="104" spans="1:31" ht="18" customHeight="1" collapsed="1" x14ac:dyDescent="0.2">
      <c r="A104" s="30" t="s">
        <v>36</v>
      </c>
      <c r="B104" s="30" t="s">
        <v>18</v>
      </c>
      <c r="C104" s="4"/>
      <c r="D104" s="4"/>
      <c r="F104" s="97" t="s">
        <v>239</v>
      </c>
      <c r="H104" s="74">
        <v>52.38</v>
      </c>
      <c r="I104" s="74">
        <v>49.302</v>
      </c>
      <c r="J104" s="74">
        <v>49.302</v>
      </c>
      <c r="K104" s="112">
        <v>52.082999999999998</v>
      </c>
      <c r="L104" s="112">
        <v>56.542000000000002</v>
      </c>
      <c r="M104" s="74">
        <v>54.864000000000004</v>
      </c>
      <c r="N104" s="74">
        <v>54.240000000000009</v>
      </c>
      <c r="O104" s="74">
        <v>52.187999999999988</v>
      </c>
      <c r="P104" s="74">
        <v>50.72399999999999</v>
      </c>
      <c r="Q104" s="74">
        <v>52.200000000000017</v>
      </c>
      <c r="R104" s="74">
        <v>52.824000000000012</v>
      </c>
      <c r="S104" s="74">
        <v>54.51600000000002</v>
      </c>
      <c r="T104" s="74">
        <v>55.739999999999895</v>
      </c>
      <c r="U104" s="74">
        <v>55.932000000000016</v>
      </c>
      <c r="V104" s="74">
        <v>59.208000000000084</v>
      </c>
      <c r="W104" s="74">
        <v>57.600000000000023</v>
      </c>
      <c r="X104" s="74">
        <v>58.823999999999955</v>
      </c>
      <c r="Y104" s="74">
        <v>54.905000000000001</v>
      </c>
      <c r="AA104" s="74">
        <v>52.082999999999998</v>
      </c>
      <c r="AB104" s="73">
        <v>2.82</v>
      </c>
      <c r="AD104" s="74">
        <v>56.542000000000002</v>
      </c>
      <c r="AE104" s="73">
        <v>-1.64</v>
      </c>
    </row>
    <row r="105" spans="1:31" ht="18" hidden="1" customHeight="1" outlineLevel="1" collapsed="1" x14ac:dyDescent="0.2">
      <c r="A105" s="33" t="s">
        <v>211</v>
      </c>
      <c r="B105" s="33" t="s">
        <v>18</v>
      </c>
      <c r="C105" s="4"/>
      <c r="D105" s="4"/>
      <c r="F105" s="98" t="s">
        <v>212</v>
      </c>
      <c r="G105" s="34"/>
      <c r="H105" s="75">
        <v>56.191000000000003</v>
      </c>
      <c r="I105" s="75">
        <v>54.744</v>
      </c>
      <c r="J105" s="75">
        <v>54.744</v>
      </c>
      <c r="K105" s="112">
        <v>52.082999999999998</v>
      </c>
      <c r="L105" s="112">
        <v>56.542000000000002</v>
      </c>
      <c r="M105" s="75">
        <v>56.184000000000005</v>
      </c>
      <c r="N105" s="75">
        <v>56.220000000000006</v>
      </c>
      <c r="O105" s="75">
        <v>55.116</v>
      </c>
      <c r="P105" s="75">
        <v>54.239999999999981</v>
      </c>
      <c r="Q105" s="75">
        <v>56.268000000000029</v>
      </c>
      <c r="R105" s="75">
        <v>54.791999999999973</v>
      </c>
      <c r="S105" s="75">
        <v>55.896000000000015</v>
      </c>
      <c r="T105" s="75">
        <v>58.115999999999985</v>
      </c>
      <c r="U105" s="75">
        <v>58.535999999999945</v>
      </c>
      <c r="V105" s="75">
        <v>61.224000000000046</v>
      </c>
      <c r="W105" s="75">
        <v>60.960000000000036</v>
      </c>
      <c r="X105" s="75">
        <v>60.803999999999974</v>
      </c>
      <c r="Y105" s="75">
        <v>57.363</v>
      </c>
      <c r="Z105" s="34"/>
      <c r="AA105" s="75">
        <v>52.082999999999998</v>
      </c>
      <c r="AB105" s="76">
        <v>5.28</v>
      </c>
      <c r="AC105" s="34"/>
      <c r="AD105" s="75">
        <v>56.542000000000002</v>
      </c>
      <c r="AE105" s="76">
        <v>0.82</v>
      </c>
    </row>
    <row r="106" spans="1:31" ht="18" hidden="1" customHeight="1" outlineLevel="1" collapsed="1" x14ac:dyDescent="0.2">
      <c r="A106" s="35"/>
      <c r="B106" s="35"/>
      <c r="C106" s="4"/>
      <c r="D106" s="4"/>
      <c r="F106" s="97" t="s">
        <v>240</v>
      </c>
      <c r="H106" s="74">
        <v>3.8109999999999999</v>
      </c>
      <c r="I106" s="74">
        <v>5.4420000000000002</v>
      </c>
      <c r="J106" s="74">
        <v>5.4420000000000002</v>
      </c>
      <c r="K106" s="112">
        <v>0</v>
      </c>
      <c r="L106" s="112">
        <v>0</v>
      </c>
      <c r="M106" s="74">
        <v>1.3200000000000003</v>
      </c>
      <c r="N106" s="74">
        <v>1.9799999999999969</v>
      </c>
      <c r="O106" s="74">
        <v>2.9280000000000115</v>
      </c>
      <c r="P106" s="74">
        <v>3.5159999999999911</v>
      </c>
      <c r="Q106" s="74">
        <v>4.0680000000000121</v>
      </c>
      <c r="R106" s="74">
        <v>1.9679999999999609</v>
      </c>
      <c r="S106" s="74">
        <v>1.3799999999999955</v>
      </c>
      <c r="T106" s="74">
        <v>2.37600000000009</v>
      </c>
      <c r="U106" s="74">
        <v>2.6039999999999281</v>
      </c>
      <c r="V106" s="74">
        <v>2.0159999999999627</v>
      </c>
      <c r="W106" s="74">
        <v>3.3600000000000136</v>
      </c>
      <c r="X106" s="74">
        <v>1.9800000000000182</v>
      </c>
      <c r="Y106" s="74">
        <v>2.4579999999999984</v>
      </c>
      <c r="AA106" s="74">
        <v>0</v>
      </c>
      <c r="AB106" s="73">
        <v>2.46</v>
      </c>
      <c r="AD106" s="74">
        <v>0</v>
      </c>
      <c r="AE106" s="73">
        <v>2.46</v>
      </c>
    </row>
    <row r="107" spans="1:31" ht="12.95" hidden="1" customHeight="1" outlineLevel="1" x14ac:dyDescent="0.2">
      <c r="A107" s="35"/>
      <c r="B107" s="35"/>
      <c r="C107" s="4"/>
      <c r="D107" s="4"/>
      <c r="F107" s="39" t="s">
        <v>37</v>
      </c>
      <c r="H107" s="68">
        <v>6.7822249114626892E-2</v>
      </c>
      <c r="I107" s="68">
        <v>9.9408154318281455E-2</v>
      </c>
      <c r="J107" s="68">
        <v>9.9408154318281455E-2</v>
      </c>
      <c r="K107" s="113">
        <v>0</v>
      </c>
      <c r="L107" s="113">
        <v>0</v>
      </c>
      <c r="M107" s="68">
        <v>2.3494233233660834E-2</v>
      </c>
      <c r="N107" s="68">
        <v>3.5218783351120539E-2</v>
      </c>
      <c r="O107" s="68">
        <v>5.3124319616808392E-2</v>
      </c>
      <c r="P107" s="68">
        <v>6.4823008849557384E-2</v>
      </c>
      <c r="Q107" s="68">
        <v>7.2296865003199151E-2</v>
      </c>
      <c r="R107" s="68">
        <v>3.5917652212001057E-2</v>
      </c>
      <c r="S107" s="68">
        <v>2.4688707599828164E-2</v>
      </c>
      <c r="T107" s="68">
        <v>4.0883749741897076E-2</v>
      </c>
      <c r="U107" s="68">
        <v>4.4485444854447359E-2</v>
      </c>
      <c r="V107" s="68">
        <v>3.2928263426106774E-2</v>
      </c>
      <c r="W107" s="68">
        <v>5.5118110236220666E-2</v>
      </c>
      <c r="X107" s="68">
        <v>3.2563647128478701E-2</v>
      </c>
      <c r="Y107" s="68">
        <v>4.2849920680578045E-2</v>
      </c>
      <c r="AA107" s="68">
        <v>0</v>
      </c>
      <c r="AB107" s="69"/>
      <c r="AD107" s="68">
        <v>0</v>
      </c>
      <c r="AE107" s="69"/>
    </row>
    <row r="108" spans="1:31" ht="18" customHeight="1" collapsed="1" x14ac:dyDescent="0.2">
      <c r="A108" s="30" t="s">
        <v>220</v>
      </c>
      <c r="B108" s="30" t="s">
        <v>18</v>
      </c>
      <c r="C108" s="4">
        <v>-3.6026218028441422E-2</v>
      </c>
      <c r="D108" s="4">
        <v>-2.7885071943998835E-2</v>
      </c>
      <c r="F108" s="106" t="s">
        <v>66</v>
      </c>
      <c r="H108" s="61">
        <v>-2375.2620000000002</v>
      </c>
      <c r="I108" s="61">
        <v>-2422.875</v>
      </c>
      <c r="J108" s="61">
        <v>-2422.875</v>
      </c>
      <c r="K108" s="86">
        <v>-2609.7660299999998</v>
      </c>
      <c r="L108" s="86">
        <v>-2630.4396900000002</v>
      </c>
      <c r="M108" s="61">
        <v>-208.81</v>
      </c>
      <c r="N108" s="61">
        <v>-198.68700000000001</v>
      </c>
      <c r="O108" s="61">
        <v>-216.71800000000002</v>
      </c>
      <c r="P108" s="61">
        <v>-211.35899999999992</v>
      </c>
      <c r="Q108" s="61">
        <v>-207.822</v>
      </c>
      <c r="R108" s="61">
        <v>-253.13599999999997</v>
      </c>
      <c r="S108" s="61">
        <v>-207.43299999999999</v>
      </c>
      <c r="T108" s="61">
        <v>-200.10200000000009</v>
      </c>
      <c r="U108" s="61">
        <v>-246.38799999999992</v>
      </c>
      <c r="V108" s="61">
        <v>-241.96300000000019</v>
      </c>
      <c r="W108" s="61">
        <v>-246.56799999999976</v>
      </c>
      <c r="X108" s="61">
        <v>-264.80200000000013</v>
      </c>
      <c r="Y108" s="61">
        <v>-2703.788</v>
      </c>
      <c r="AA108" s="61">
        <v>-2609.7660299999998</v>
      </c>
      <c r="AB108" s="60">
        <v>-94.02</v>
      </c>
      <c r="AD108" s="61">
        <v>-2630.4396900000002</v>
      </c>
      <c r="AE108" s="60">
        <v>-73.349999999999994</v>
      </c>
    </row>
    <row r="109" spans="1:31" ht="18" customHeight="1" x14ac:dyDescent="0.2">
      <c r="A109" s="30" t="s">
        <v>218</v>
      </c>
      <c r="B109" s="30" t="s">
        <v>18</v>
      </c>
      <c r="C109" s="4">
        <v>-1.0001310358383018</v>
      </c>
      <c r="D109" s="4">
        <v>-1.0001310358383018</v>
      </c>
      <c r="F109" s="104" t="s">
        <v>219</v>
      </c>
      <c r="G109" s="36"/>
      <c r="H109" s="65">
        <v>6.3429999999999902</v>
      </c>
      <c r="I109" s="65">
        <v>-10.109</v>
      </c>
      <c r="J109" s="65">
        <v>-10.109</v>
      </c>
      <c r="K109" s="65">
        <v>0</v>
      </c>
      <c r="L109" s="65">
        <v>0</v>
      </c>
      <c r="M109" s="65">
        <v>-15.702</v>
      </c>
      <c r="N109" s="65">
        <v>-10.97</v>
      </c>
      <c r="O109" s="65">
        <v>-1.4849999999999994</v>
      </c>
      <c r="P109" s="65">
        <v>-9.8649999999999984</v>
      </c>
      <c r="Q109" s="65">
        <v>17.111999999999998</v>
      </c>
      <c r="R109" s="65">
        <v>1.4409999999999989</v>
      </c>
      <c r="S109" s="65">
        <v>12.418000000000001</v>
      </c>
      <c r="T109" s="65">
        <v>26.860999999999997</v>
      </c>
      <c r="U109" s="65">
        <v>-10.203999999999995</v>
      </c>
      <c r="V109" s="65">
        <v>-5.0519999999999996</v>
      </c>
      <c r="W109" s="65">
        <v>-14.225</v>
      </c>
      <c r="X109" s="65">
        <v>-20.855</v>
      </c>
      <c r="Y109" s="65">
        <v>-30.526</v>
      </c>
      <c r="Z109" s="36"/>
      <c r="AA109" s="65">
        <v>0</v>
      </c>
      <c r="AB109" s="60">
        <v>-30.53</v>
      </c>
      <c r="AC109" s="36"/>
      <c r="AD109" s="65">
        <v>0</v>
      </c>
      <c r="AE109" s="60">
        <v>-30.53</v>
      </c>
    </row>
    <row r="110" spans="1:31" ht="18" customHeight="1" x14ac:dyDescent="0.2">
      <c r="A110" s="30" t="s">
        <v>34</v>
      </c>
      <c r="B110" s="30" t="s">
        <v>18</v>
      </c>
      <c r="C110" s="4">
        <v>0</v>
      </c>
      <c r="D110" s="4">
        <v>0</v>
      </c>
      <c r="F110" s="106" t="s">
        <v>57</v>
      </c>
      <c r="H110" s="61">
        <v>0</v>
      </c>
      <c r="I110" s="61">
        <v>0</v>
      </c>
      <c r="J110" s="61">
        <v>0</v>
      </c>
      <c r="K110" s="86">
        <v>0</v>
      </c>
      <c r="L110" s="86">
        <v>0</v>
      </c>
      <c r="M110" s="61">
        <v>0</v>
      </c>
      <c r="N110" s="61">
        <v>0</v>
      </c>
      <c r="O110" s="61">
        <v>0</v>
      </c>
      <c r="P110" s="61">
        <v>0</v>
      </c>
      <c r="Q110" s="61">
        <v>0</v>
      </c>
      <c r="R110" s="61">
        <v>0</v>
      </c>
      <c r="S110" s="61">
        <v>0</v>
      </c>
      <c r="T110" s="61">
        <v>0</v>
      </c>
      <c r="U110" s="61">
        <v>0</v>
      </c>
      <c r="V110" s="61">
        <v>0</v>
      </c>
      <c r="W110" s="61">
        <v>0</v>
      </c>
      <c r="X110" s="61">
        <v>0</v>
      </c>
      <c r="Y110" s="61">
        <v>0</v>
      </c>
      <c r="AA110" s="61">
        <v>0</v>
      </c>
      <c r="AB110" s="60">
        <v>0</v>
      </c>
      <c r="AD110" s="61">
        <v>0</v>
      </c>
      <c r="AE110" s="60">
        <v>0</v>
      </c>
    </row>
    <row r="111" spans="1:31" ht="18" customHeight="1" x14ac:dyDescent="0.2">
      <c r="A111" s="30" t="s">
        <v>221</v>
      </c>
      <c r="B111" s="30" t="s">
        <v>18</v>
      </c>
      <c r="C111" s="4">
        <v>1</v>
      </c>
      <c r="D111" s="4">
        <v>-0.184</v>
      </c>
      <c r="F111" s="106" t="s">
        <v>379</v>
      </c>
      <c r="H111" s="61">
        <v>2.573</v>
      </c>
      <c r="I111" s="61">
        <v>2.2040000000000002</v>
      </c>
      <c r="J111" s="61">
        <v>2.2040000000000002</v>
      </c>
      <c r="K111" s="86">
        <v>0</v>
      </c>
      <c r="L111" s="86">
        <v>5</v>
      </c>
      <c r="M111" s="61">
        <v>0.48499999999999999</v>
      </c>
      <c r="N111" s="61">
        <v>0.27200000000000002</v>
      </c>
      <c r="O111" s="61">
        <v>2.1459999999999999</v>
      </c>
      <c r="P111" s="61">
        <v>0.35999999999999988</v>
      </c>
      <c r="Q111" s="61">
        <v>0.31400000000000006</v>
      </c>
      <c r="R111" s="61">
        <v>0.50300000000000011</v>
      </c>
      <c r="S111" s="61">
        <v>0</v>
      </c>
      <c r="T111" s="61">
        <v>0</v>
      </c>
      <c r="U111" s="61">
        <v>0</v>
      </c>
      <c r="V111" s="61">
        <v>0</v>
      </c>
      <c r="W111" s="61">
        <v>0</v>
      </c>
      <c r="X111" s="61">
        <v>0</v>
      </c>
      <c r="Y111" s="61">
        <v>4.08</v>
      </c>
      <c r="AA111" s="61">
        <v>0</v>
      </c>
      <c r="AB111" s="60">
        <v>4.08</v>
      </c>
      <c r="AD111" s="61">
        <v>5</v>
      </c>
      <c r="AE111" s="60">
        <v>-0.92</v>
      </c>
    </row>
    <row r="112" spans="1:31" ht="18" customHeight="1" x14ac:dyDescent="0.2">
      <c r="A112" s="30" t="s">
        <v>430</v>
      </c>
      <c r="B112" s="30" t="s">
        <v>18</v>
      </c>
      <c r="C112" s="4">
        <v>0</v>
      </c>
      <c r="D112" s="4">
        <v>0</v>
      </c>
      <c r="F112" s="106" t="s">
        <v>431</v>
      </c>
      <c r="H112" s="61">
        <v>-1.7609999999999999</v>
      </c>
      <c r="I112" s="61">
        <v>0</v>
      </c>
      <c r="J112" s="61">
        <v>0</v>
      </c>
      <c r="K112" s="86">
        <v>0</v>
      </c>
      <c r="L112" s="86">
        <v>0</v>
      </c>
      <c r="M112" s="61">
        <v>0</v>
      </c>
      <c r="N112" s="61">
        <v>0</v>
      </c>
      <c r="O112" s="61">
        <v>0</v>
      </c>
      <c r="P112" s="61">
        <v>0</v>
      </c>
      <c r="Q112" s="61">
        <v>0</v>
      </c>
      <c r="R112" s="61">
        <v>0</v>
      </c>
      <c r="S112" s="61">
        <v>0</v>
      </c>
      <c r="T112" s="61">
        <v>0</v>
      </c>
      <c r="U112" s="61">
        <v>0</v>
      </c>
      <c r="V112" s="61">
        <v>0</v>
      </c>
      <c r="W112" s="61">
        <v>0</v>
      </c>
      <c r="X112" s="61">
        <v>0</v>
      </c>
      <c r="Y112" s="61">
        <v>0</v>
      </c>
      <c r="AA112" s="61">
        <v>0</v>
      </c>
      <c r="AB112" s="60">
        <v>0</v>
      </c>
      <c r="AD112" s="61">
        <v>0</v>
      </c>
      <c r="AE112" s="60">
        <v>0</v>
      </c>
    </row>
    <row r="113" spans="1:31" ht="18" customHeight="1" x14ac:dyDescent="0.2">
      <c r="A113" s="30" t="s">
        <v>35</v>
      </c>
      <c r="B113" s="30" t="s">
        <v>18</v>
      </c>
      <c r="C113" s="4">
        <v>-3.3</v>
      </c>
      <c r="D113" s="4">
        <v>-0.12860892388451442</v>
      </c>
      <c r="F113" s="106" t="s">
        <v>67</v>
      </c>
      <c r="H113" s="61">
        <v>-3.6999999999999998E-2</v>
      </c>
      <c r="I113" s="61">
        <v>-4.9669999999999996</v>
      </c>
      <c r="J113" s="61">
        <v>-4.9669999999999996</v>
      </c>
      <c r="K113" s="86">
        <v>-2</v>
      </c>
      <c r="L113" s="86">
        <v>-7.62</v>
      </c>
      <c r="M113" s="61">
        <v>-0.53400000000000003</v>
      </c>
      <c r="N113" s="61">
        <v>-1.1479999999999999</v>
      </c>
      <c r="O113" s="61">
        <v>-0.5990000000000002</v>
      </c>
      <c r="P113" s="61">
        <v>-0.68699999999999983</v>
      </c>
      <c r="Q113" s="61">
        <v>0.129</v>
      </c>
      <c r="R113" s="61">
        <v>-0.88600000000000012</v>
      </c>
      <c r="S113" s="61">
        <v>-0.6859999999999995</v>
      </c>
      <c r="T113" s="61">
        <v>-0.68800000000000061</v>
      </c>
      <c r="U113" s="61">
        <v>-0.72699999999999942</v>
      </c>
      <c r="V113" s="61">
        <v>-0.90500000000000025</v>
      </c>
      <c r="W113" s="61">
        <v>-0.70900000000000052</v>
      </c>
      <c r="X113" s="61">
        <v>-1.1589999999999998</v>
      </c>
      <c r="Y113" s="61">
        <v>-8.5990000000000002</v>
      </c>
      <c r="AA113" s="61">
        <v>-2</v>
      </c>
      <c r="AB113" s="60">
        <v>-6.6</v>
      </c>
      <c r="AD113" s="61">
        <v>-7.62</v>
      </c>
      <c r="AE113" s="60">
        <v>-0.98</v>
      </c>
    </row>
    <row r="114" spans="1:31" ht="18" hidden="1" customHeight="1" outlineLevel="1" collapsed="1" x14ac:dyDescent="0.2">
      <c r="A114" s="35"/>
      <c r="B114" s="35"/>
      <c r="C114" s="4"/>
      <c r="D114" s="4"/>
      <c r="F114" s="97" t="s">
        <v>453</v>
      </c>
      <c r="H114" s="74">
        <v>0</v>
      </c>
      <c r="I114" s="74">
        <v>0</v>
      </c>
      <c r="J114" s="74">
        <v>0</v>
      </c>
      <c r="K114" s="112">
        <v>0</v>
      </c>
      <c r="L114" s="112">
        <v>0</v>
      </c>
      <c r="M114" s="74">
        <v>0</v>
      </c>
      <c r="N114" s="74">
        <v>0</v>
      </c>
      <c r="O114" s="74">
        <v>0</v>
      </c>
      <c r="P114" s="74">
        <v>0</v>
      </c>
      <c r="Q114" s="74">
        <v>0</v>
      </c>
      <c r="R114" s="74">
        <v>0</v>
      </c>
      <c r="S114" s="74">
        <v>0</v>
      </c>
      <c r="T114" s="74">
        <v>0</v>
      </c>
      <c r="U114" s="74">
        <v>0</v>
      </c>
      <c r="V114" s="74">
        <v>0</v>
      </c>
      <c r="W114" s="74">
        <v>0</v>
      </c>
      <c r="X114" s="74">
        <v>0</v>
      </c>
      <c r="Y114" s="74">
        <v>0</v>
      </c>
      <c r="AA114" s="74">
        <v>0</v>
      </c>
      <c r="AB114" s="73">
        <v>0</v>
      </c>
      <c r="AD114" s="74">
        <v>0</v>
      </c>
      <c r="AE114" s="73">
        <v>0</v>
      </c>
    </row>
    <row r="115" spans="1:31" ht="18" customHeight="1" collapsed="1" x14ac:dyDescent="0.2">
      <c r="A115" s="30" t="s">
        <v>20</v>
      </c>
      <c r="B115" s="30" t="s">
        <v>18</v>
      </c>
      <c r="C115" s="4">
        <v>0</v>
      </c>
      <c r="D115" s="4">
        <v>0</v>
      </c>
      <c r="F115" s="106" t="s">
        <v>68</v>
      </c>
      <c r="H115" s="61">
        <v>0</v>
      </c>
      <c r="I115" s="61">
        <v>0</v>
      </c>
      <c r="J115" s="61">
        <v>0</v>
      </c>
      <c r="K115" s="86">
        <v>0</v>
      </c>
      <c r="L115" s="86">
        <v>0</v>
      </c>
      <c r="M115" s="61">
        <v>0</v>
      </c>
      <c r="N115" s="61">
        <v>0</v>
      </c>
      <c r="O115" s="61">
        <v>0</v>
      </c>
      <c r="P115" s="61">
        <v>0</v>
      </c>
      <c r="Q115" s="61">
        <v>0</v>
      </c>
      <c r="R115" s="61">
        <v>0</v>
      </c>
      <c r="S115" s="61">
        <v>0</v>
      </c>
      <c r="T115" s="61">
        <v>0</v>
      </c>
      <c r="U115" s="61">
        <v>0</v>
      </c>
      <c r="V115" s="61">
        <v>0</v>
      </c>
      <c r="W115" s="61">
        <v>0</v>
      </c>
      <c r="X115" s="61">
        <v>0</v>
      </c>
      <c r="Y115" s="61">
        <v>0</v>
      </c>
      <c r="AA115" s="61">
        <v>0</v>
      </c>
      <c r="AB115" s="60">
        <v>0</v>
      </c>
      <c r="AD115" s="61">
        <v>0</v>
      </c>
      <c r="AE115" s="60">
        <v>0</v>
      </c>
    </row>
    <row r="116" spans="1:31" ht="18" customHeight="1" x14ac:dyDescent="0.2">
      <c r="A116" s="35"/>
      <c r="B116" s="35"/>
      <c r="C116" s="4">
        <v>-4.8652903261782607E-2</v>
      </c>
      <c r="D116" s="4">
        <v>-4.0169997057681588E-2</v>
      </c>
      <c r="F116" s="95" t="s">
        <v>275</v>
      </c>
      <c r="H116" s="198">
        <v>-2368.1440000000002</v>
      </c>
      <c r="I116" s="198">
        <v>-2435.7469999999998</v>
      </c>
      <c r="J116" s="198">
        <v>-2435.7469999999998</v>
      </c>
      <c r="K116" s="89">
        <v>-2611.7660299999998</v>
      </c>
      <c r="L116" s="89">
        <v>-2633.05969</v>
      </c>
      <c r="M116" s="64">
        <v>-224.56099999999998</v>
      </c>
      <c r="N116" s="64">
        <v>-210.53300000000002</v>
      </c>
      <c r="O116" s="64">
        <v>-216.65600000000003</v>
      </c>
      <c r="P116" s="64">
        <v>-221.55099999999993</v>
      </c>
      <c r="Q116" s="64">
        <v>-190.26700000000002</v>
      </c>
      <c r="R116" s="64">
        <v>-252.07799999999995</v>
      </c>
      <c r="S116" s="64">
        <v>-195.70099999999999</v>
      </c>
      <c r="T116" s="64">
        <v>-173.92900000000009</v>
      </c>
      <c r="U116" s="64">
        <v>-257.3189999999999</v>
      </c>
      <c r="V116" s="64">
        <v>-247.92000000000019</v>
      </c>
      <c r="W116" s="64">
        <v>-261.50199999999978</v>
      </c>
      <c r="X116" s="64">
        <v>-286.81600000000014</v>
      </c>
      <c r="Y116" s="64">
        <v>-2738.8330000000001</v>
      </c>
      <c r="AA116" s="64">
        <v>-2611.7660299999998</v>
      </c>
      <c r="AB116" s="60">
        <v>-127.07</v>
      </c>
      <c r="AD116" s="64">
        <v>-2633.05969</v>
      </c>
      <c r="AE116" s="60">
        <v>-105.77</v>
      </c>
    </row>
    <row r="117" spans="1:31" ht="12.95" customHeight="1" x14ac:dyDescent="0.2">
      <c r="A117" s="35"/>
      <c r="B117" s="35"/>
      <c r="C117" s="4"/>
      <c r="D117" s="4"/>
      <c r="F117" s="39" t="s">
        <v>223</v>
      </c>
      <c r="H117" s="56">
        <v>0.41925153987675323</v>
      </c>
      <c r="I117" s="56">
        <v>0.40216235904280695</v>
      </c>
      <c r="J117" s="56">
        <v>0.40216235904280695</v>
      </c>
      <c r="K117" s="109">
        <v>0.40153970602569528</v>
      </c>
      <c r="L117" s="109">
        <v>0.39065141612749937</v>
      </c>
      <c r="M117" s="56">
        <v>0.47887344968183287</v>
      </c>
      <c r="N117" s="56">
        <v>0.41770514440809248</v>
      </c>
      <c r="O117" s="56">
        <v>0.41887262294194533</v>
      </c>
      <c r="P117" s="56">
        <v>0.37788314756223396</v>
      </c>
      <c r="Q117" s="56">
        <v>0.30712201137662298</v>
      </c>
      <c r="R117" s="56">
        <v>0.43062137202715495</v>
      </c>
      <c r="S117" s="56">
        <v>0.351877690313254</v>
      </c>
      <c r="T117" s="56">
        <v>0.31284276111899562</v>
      </c>
      <c r="U117" s="56">
        <v>0.43880690170291542</v>
      </c>
      <c r="V117" s="56">
        <v>0.39154371701206286</v>
      </c>
      <c r="W117" s="56">
        <v>0.44365911631923544</v>
      </c>
      <c r="X117" s="56">
        <v>0.47285052953667195</v>
      </c>
      <c r="Y117" s="56">
        <v>0.40223163316588084</v>
      </c>
      <c r="AA117" s="56">
        <v>0.40153970602569528</v>
      </c>
      <c r="AB117" s="57"/>
      <c r="AD117" s="56">
        <v>0.39065141612749937</v>
      </c>
      <c r="AE117" s="57"/>
    </row>
    <row r="118" spans="1:31" ht="6.95" customHeight="1" x14ac:dyDescent="0.2">
      <c r="C118" s="4"/>
      <c r="D118" s="4"/>
      <c r="F118" s="99"/>
      <c r="H118" s="16"/>
      <c r="I118" s="16"/>
      <c r="J118" s="16"/>
      <c r="K118" s="85"/>
      <c r="L118" s="85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AA118" s="16"/>
      <c r="AB118" s="20"/>
      <c r="AD118" s="16"/>
      <c r="AE118" s="20"/>
    </row>
    <row r="119" spans="1:31" ht="18" customHeight="1" x14ac:dyDescent="0.2">
      <c r="A119" s="30" t="s">
        <v>70</v>
      </c>
      <c r="B119" s="30" t="s">
        <v>18</v>
      </c>
      <c r="C119" s="4"/>
      <c r="D119" s="4"/>
      <c r="F119" s="97" t="s">
        <v>225</v>
      </c>
      <c r="H119" s="74">
        <v>50.713999999999999</v>
      </c>
      <c r="I119" s="74">
        <v>51.568000000000005</v>
      </c>
      <c r="J119" s="74">
        <v>51.567999999999998</v>
      </c>
      <c r="K119" s="112">
        <v>54</v>
      </c>
      <c r="L119" s="112">
        <v>57</v>
      </c>
      <c r="M119" s="74">
        <v>54.983999999999995</v>
      </c>
      <c r="N119" s="74">
        <v>53.316000000000017</v>
      </c>
      <c r="O119" s="74">
        <v>51.26400000000001</v>
      </c>
      <c r="P119" s="74">
        <v>53.003999999999962</v>
      </c>
      <c r="Q119" s="74">
        <v>52.992000000000019</v>
      </c>
      <c r="R119" s="74">
        <v>52.704000000000008</v>
      </c>
      <c r="S119" s="74">
        <v>56.004000000000019</v>
      </c>
      <c r="T119" s="74">
        <v>55.991999999999962</v>
      </c>
      <c r="U119" s="74">
        <v>53.532000000000039</v>
      </c>
      <c r="V119" s="74">
        <v>55.956000000000017</v>
      </c>
      <c r="W119" s="74">
        <v>53.615999999999985</v>
      </c>
      <c r="X119" s="74">
        <v>54</v>
      </c>
      <c r="Y119" s="74">
        <v>53.947000000000003</v>
      </c>
      <c r="AA119" s="74">
        <v>54</v>
      </c>
      <c r="AB119" s="73">
        <v>-0.05</v>
      </c>
      <c r="AD119" s="74">
        <v>57</v>
      </c>
      <c r="AE119" s="73">
        <v>-3.05</v>
      </c>
    </row>
    <row r="120" spans="1:31" ht="12.95" customHeight="1" x14ac:dyDescent="0.2">
      <c r="A120" s="35"/>
      <c r="B120" s="35"/>
      <c r="C120" s="4"/>
      <c r="D120" s="4"/>
      <c r="F120" s="39" t="s">
        <v>71</v>
      </c>
      <c r="H120" s="132">
        <v>-7197.8349173798151</v>
      </c>
      <c r="I120" s="132">
        <v>-7851.9042817251011</v>
      </c>
      <c r="J120" s="132">
        <v>-7851.904281725102</v>
      </c>
      <c r="K120" s="133">
        <v>-8592.5925925925931</v>
      </c>
      <c r="L120" s="133">
        <v>-8119.2982456140353</v>
      </c>
      <c r="M120" s="132">
        <v>-638.02197002764444</v>
      </c>
      <c r="N120" s="132">
        <v>-526.44609498086857</v>
      </c>
      <c r="O120" s="132">
        <v>-1255.4229088639199</v>
      </c>
      <c r="P120" s="132">
        <v>-814.86302920534376</v>
      </c>
      <c r="Q120" s="132">
        <v>-834.46557971014465</v>
      </c>
      <c r="R120" s="132">
        <v>-570.10853066180937</v>
      </c>
      <c r="S120" s="132">
        <v>-615.81315620312785</v>
      </c>
      <c r="T120" s="132">
        <v>-495.588655522218</v>
      </c>
      <c r="U120" s="132">
        <v>-765.67286856459634</v>
      </c>
      <c r="V120" s="132">
        <v>-620.82707841875776</v>
      </c>
      <c r="W120" s="132">
        <v>-663.57057594747812</v>
      </c>
      <c r="X120" s="132">
        <v>-583.62962962962968</v>
      </c>
      <c r="Y120" s="132">
        <v>-8341.9467254898318</v>
      </c>
      <c r="AA120" s="132">
        <v>-8592.5925925925931</v>
      </c>
      <c r="AB120" s="134">
        <v>250.65</v>
      </c>
      <c r="AD120" s="132">
        <v>-8119.2982456140353</v>
      </c>
      <c r="AE120" s="134">
        <v>-222.65</v>
      </c>
    </row>
    <row r="121" spans="1:31" ht="18" customHeight="1" x14ac:dyDescent="0.2">
      <c r="A121" s="30" t="s">
        <v>63</v>
      </c>
      <c r="B121" s="30" t="s">
        <v>18</v>
      </c>
      <c r="C121" s="4">
        <v>0.234855248055095</v>
      </c>
      <c r="D121" s="4">
        <v>2.4938485070160267E-3</v>
      </c>
      <c r="F121" s="106" t="s">
        <v>401</v>
      </c>
      <c r="H121" s="61">
        <v>-90.400999999999996</v>
      </c>
      <c r="I121" s="61">
        <v>-106.714</v>
      </c>
      <c r="J121" s="61">
        <v>-106.714</v>
      </c>
      <c r="K121" s="86">
        <v>-156.82</v>
      </c>
      <c r="L121" s="86">
        <v>-120.29600000000001</v>
      </c>
      <c r="M121" s="61">
        <v>-8.8089999999999993</v>
      </c>
      <c r="N121" s="61">
        <v>-9.9760000000000009</v>
      </c>
      <c r="O121" s="61">
        <v>-13.617999999999999</v>
      </c>
      <c r="P121" s="61">
        <v>-8.9639999999999986</v>
      </c>
      <c r="Q121" s="61">
        <v>-9.017000000000003</v>
      </c>
      <c r="R121" s="61">
        <v>-9.5829999999999984</v>
      </c>
      <c r="S121" s="61">
        <v>-9.5589999999999975</v>
      </c>
      <c r="T121" s="61">
        <v>-10.802000000000007</v>
      </c>
      <c r="U121" s="61">
        <v>-10.057000000000002</v>
      </c>
      <c r="V121" s="61">
        <v>-10.113</v>
      </c>
      <c r="W121" s="61">
        <v>-9.8149999999999977</v>
      </c>
      <c r="X121" s="61">
        <v>-9.679000000000002</v>
      </c>
      <c r="Y121" s="61">
        <v>-119.992</v>
      </c>
      <c r="AA121" s="61">
        <v>-156.82</v>
      </c>
      <c r="AB121" s="60">
        <v>36.83</v>
      </c>
      <c r="AD121" s="61">
        <v>-120.29600000000001</v>
      </c>
      <c r="AE121" s="60">
        <v>0.3</v>
      </c>
    </row>
    <row r="122" spans="1:31" ht="18" customHeight="1" x14ac:dyDescent="0.2">
      <c r="A122" s="30" t="s">
        <v>148</v>
      </c>
      <c r="B122" s="30" t="s">
        <v>18</v>
      </c>
      <c r="C122" s="4">
        <v>-0.99850224663005482</v>
      </c>
      <c r="D122" s="4">
        <v>-0.99850224663005482</v>
      </c>
      <c r="F122" s="106" t="s">
        <v>149</v>
      </c>
      <c r="H122" s="61">
        <v>-3.8279999999999998</v>
      </c>
      <c r="I122" s="61">
        <v>-7.1559999999999997</v>
      </c>
      <c r="J122" s="61">
        <v>-7.1559999999999997</v>
      </c>
      <c r="K122" s="86">
        <v>0</v>
      </c>
      <c r="L122" s="86">
        <v>0</v>
      </c>
      <c r="M122" s="61">
        <v>0</v>
      </c>
      <c r="N122" s="61">
        <v>0</v>
      </c>
      <c r="O122" s="61">
        <v>0</v>
      </c>
      <c r="P122" s="61">
        <v>0</v>
      </c>
      <c r="Q122" s="61">
        <v>0</v>
      </c>
      <c r="R122" s="61">
        <v>0</v>
      </c>
      <c r="S122" s="61">
        <v>0</v>
      </c>
      <c r="T122" s="61">
        <v>0</v>
      </c>
      <c r="U122" s="61">
        <v>0</v>
      </c>
      <c r="V122" s="61">
        <v>0</v>
      </c>
      <c r="W122" s="61">
        <v>-1.49</v>
      </c>
      <c r="X122" s="61">
        <v>-0.51300000000000012</v>
      </c>
      <c r="Y122" s="61">
        <v>-2.0030000000000001</v>
      </c>
      <c r="AA122" s="61">
        <v>0</v>
      </c>
      <c r="AB122" s="60">
        <v>-2</v>
      </c>
      <c r="AD122" s="61">
        <v>0</v>
      </c>
      <c r="AE122" s="60">
        <v>-2</v>
      </c>
    </row>
    <row r="123" spans="1:31" ht="18" customHeight="1" x14ac:dyDescent="0.2">
      <c r="A123" s="30" t="s">
        <v>64</v>
      </c>
      <c r="B123" s="30" t="s">
        <v>18</v>
      </c>
      <c r="C123" s="4">
        <v>-7.4175040415887395E-3</v>
      </c>
      <c r="D123" s="4">
        <v>-1.8915349004219085E-2</v>
      </c>
      <c r="F123" s="106" t="s">
        <v>202</v>
      </c>
      <c r="H123" s="61">
        <v>-107.307</v>
      </c>
      <c r="I123" s="61">
        <v>-135.90199999999999</v>
      </c>
      <c r="J123" s="61">
        <v>-135.90199999999999</v>
      </c>
      <c r="K123" s="86">
        <v>-157.73500000000001</v>
      </c>
      <c r="L123" s="86">
        <v>-155.958</v>
      </c>
      <c r="M123" s="61">
        <v>-14.753</v>
      </c>
      <c r="N123" s="61">
        <v>-13.620999999999999</v>
      </c>
      <c r="O123" s="61">
        <v>-13.242999999999999</v>
      </c>
      <c r="P123" s="61">
        <v>-15.144000000000005</v>
      </c>
      <c r="Q123" s="61">
        <v>-9.8219999999999956</v>
      </c>
      <c r="R123" s="61">
        <v>-14.218000000000004</v>
      </c>
      <c r="S123" s="61">
        <v>-13.137999999999991</v>
      </c>
      <c r="T123" s="61">
        <v>-7.355000000000004</v>
      </c>
      <c r="U123" s="61">
        <v>-14.159999999999997</v>
      </c>
      <c r="V123" s="61">
        <v>-14.548000000000016</v>
      </c>
      <c r="W123" s="61">
        <v>-12.679999999999978</v>
      </c>
      <c r="X123" s="61">
        <v>-16.223000000000013</v>
      </c>
      <c r="Y123" s="61">
        <v>-158.905</v>
      </c>
      <c r="AA123" s="61">
        <v>-157.73500000000001</v>
      </c>
      <c r="AB123" s="60">
        <v>-1.17</v>
      </c>
      <c r="AD123" s="61">
        <v>-155.958</v>
      </c>
      <c r="AE123" s="60">
        <v>-2.95</v>
      </c>
    </row>
    <row r="124" spans="1:31" ht="18" hidden="1" customHeight="1" outlineLevel="1" x14ac:dyDescent="0.2">
      <c r="A124" s="30" t="s">
        <v>150</v>
      </c>
      <c r="B124" s="30" t="s">
        <v>18</v>
      </c>
      <c r="C124" s="4">
        <v>-3.8284457478005862</v>
      </c>
      <c r="D124" s="4">
        <v>-0.18919699595609474</v>
      </c>
      <c r="F124" s="38" t="s">
        <v>151</v>
      </c>
      <c r="G124" s="34"/>
      <c r="H124" s="66">
        <v>-33.034999999999997</v>
      </c>
      <c r="I124" s="66">
        <v>-53.17</v>
      </c>
      <c r="J124" s="66">
        <v>-53.17</v>
      </c>
      <c r="K124" s="86">
        <v>-6.82</v>
      </c>
      <c r="L124" s="86">
        <v>-27.696000000000002</v>
      </c>
      <c r="M124" s="66">
        <v>-4.3</v>
      </c>
      <c r="N124" s="66">
        <v>-2.702</v>
      </c>
      <c r="O124" s="66">
        <v>-5.0520000000000005</v>
      </c>
      <c r="P124" s="66">
        <v>-0.66999999999999993</v>
      </c>
      <c r="Q124" s="66">
        <v>-8.09</v>
      </c>
      <c r="R124" s="66">
        <v>0.26300000000000168</v>
      </c>
      <c r="S124" s="66">
        <v>-0.58100000000000307</v>
      </c>
      <c r="T124" s="66">
        <v>-0.70499999999999829</v>
      </c>
      <c r="U124" s="66">
        <v>-0.53000000000000114</v>
      </c>
      <c r="V124" s="66">
        <v>-3.9029999999999987</v>
      </c>
      <c r="W124" s="66">
        <v>-6.3120000000000012</v>
      </c>
      <c r="X124" s="66">
        <v>-0.34899999999999665</v>
      </c>
      <c r="Y124" s="66">
        <v>-32.930999999999997</v>
      </c>
      <c r="Z124" s="34"/>
      <c r="AA124" s="66">
        <v>-6.82</v>
      </c>
      <c r="AB124" s="60">
        <v>-26.11</v>
      </c>
      <c r="AC124" s="34"/>
      <c r="AD124" s="66">
        <v>-27.696000000000002</v>
      </c>
      <c r="AE124" s="60">
        <v>-5.24</v>
      </c>
    </row>
    <row r="125" spans="1:31" ht="18" hidden="1" customHeight="1" outlineLevel="1" x14ac:dyDescent="0.2">
      <c r="A125" s="30" t="s">
        <v>168</v>
      </c>
      <c r="B125" s="30" t="s">
        <v>18</v>
      </c>
      <c r="C125" s="4">
        <v>0.18206092972448112</v>
      </c>
      <c r="D125" s="4">
        <v>0.16688918558077437</v>
      </c>
      <c r="F125" s="38" t="s">
        <v>169</v>
      </c>
      <c r="G125" s="34"/>
      <c r="H125" s="66">
        <v>-24.079000000000001</v>
      </c>
      <c r="I125" s="66">
        <v>-36.652000000000001</v>
      </c>
      <c r="J125" s="66">
        <v>-36.652000000000001</v>
      </c>
      <c r="K125" s="86">
        <v>-41.195</v>
      </c>
      <c r="L125" s="86">
        <v>-40.445999999999998</v>
      </c>
      <c r="M125" s="66">
        <v>-2.4889999999999999</v>
      </c>
      <c r="N125" s="66">
        <v>-2.843</v>
      </c>
      <c r="O125" s="66">
        <v>-3.6030000000000006</v>
      </c>
      <c r="P125" s="66">
        <v>-2.5999999999999996</v>
      </c>
      <c r="Q125" s="66">
        <v>-2.2469999999999999</v>
      </c>
      <c r="R125" s="66">
        <v>-2.5549999999999997</v>
      </c>
      <c r="S125" s="66">
        <v>-2.4039999999999999</v>
      </c>
      <c r="T125" s="66">
        <v>-3.0100000000000016</v>
      </c>
      <c r="U125" s="66">
        <v>-3.0679999999999978</v>
      </c>
      <c r="V125" s="66">
        <v>-2.6910000000000025</v>
      </c>
      <c r="W125" s="66">
        <v>-2.5159999999999982</v>
      </c>
      <c r="X125" s="66">
        <v>-3.6699999999999982</v>
      </c>
      <c r="Y125" s="66">
        <v>-33.695999999999998</v>
      </c>
      <c r="Z125" s="34"/>
      <c r="AA125" s="66">
        <v>-41.195</v>
      </c>
      <c r="AB125" s="60">
        <v>7.5</v>
      </c>
      <c r="AC125" s="34"/>
      <c r="AD125" s="66">
        <v>-40.445999999999998</v>
      </c>
      <c r="AE125" s="60">
        <v>6.75</v>
      </c>
    </row>
    <row r="126" spans="1:31" ht="18" hidden="1" customHeight="1" outlineLevel="1" x14ac:dyDescent="0.2">
      <c r="A126" s="30" t="s">
        <v>170</v>
      </c>
      <c r="B126" s="30" t="s">
        <v>18</v>
      </c>
      <c r="C126" s="4">
        <v>-4.5454545454545456E-2</v>
      </c>
      <c r="D126" s="4">
        <v>-6.5235690235690244E-2</v>
      </c>
      <c r="F126" s="38" t="s">
        <v>171</v>
      </c>
      <c r="G126" s="34"/>
      <c r="H126" s="66">
        <v>-5.4569999999999999</v>
      </c>
      <c r="I126" s="66">
        <v>-6.6120000000000001</v>
      </c>
      <c r="J126" s="66">
        <v>-6.6120000000000001</v>
      </c>
      <c r="K126" s="86">
        <v>-9.68</v>
      </c>
      <c r="L126" s="86">
        <v>-9.5039999999999996</v>
      </c>
      <c r="M126" s="66">
        <v>-1.5489999999999999</v>
      </c>
      <c r="N126" s="66">
        <v>-0.45900000000000007</v>
      </c>
      <c r="O126" s="66">
        <v>-1.016</v>
      </c>
      <c r="P126" s="66">
        <v>-0.18299999999999983</v>
      </c>
      <c r="Q126" s="66">
        <v>-1.0490000000000004</v>
      </c>
      <c r="R126" s="66">
        <v>-0.44899999999999984</v>
      </c>
      <c r="S126" s="66">
        <v>0</v>
      </c>
      <c r="T126" s="66">
        <v>0</v>
      </c>
      <c r="U126" s="66">
        <v>-2.6040000000000001</v>
      </c>
      <c r="V126" s="66">
        <v>-1.0650000000000004</v>
      </c>
      <c r="W126" s="66">
        <v>-1.1079999999999988</v>
      </c>
      <c r="X126" s="66">
        <v>-0.63900000000000112</v>
      </c>
      <c r="Y126" s="66">
        <v>-10.121</v>
      </c>
      <c r="Z126" s="34"/>
      <c r="AA126" s="66">
        <v>-9.68</v>
      </c>
      <c r="AB126" s="60">
        <v>-0.44</v>
      </c>
      <c r="AC126" s="34"/>
      <c r="AD126" s="66">
        <v>-9.5039999999999996</v>
      </c>
      <c r="AE126" s="60">
        <v>-0.62</v>
      </c>
    </row>
    <row r="127" spans="1:31" ht="18" customHeight="1" collapsed="1" x14ac:dyDescent="0.2">
      <c r="A127" s="35"/>
      <c r="B127" s="35"/>
      <c r="C127" s="4">
        <v>-0.33018459138573536</v>
      </c>
      <c r="D127" s="4">
        <v>1.1591067150915695E-2</v>
      </c>
      <c r="F127" s="106" t="s">
        <v>151</v>
      </c>
      <c r="H127" s="61">
        <v>-62.570999999999998</v>
      </c>
      <c r="I127" s="61">
        <v>-96.433999999999997</v>
      </c>
      <c r="J127" s="61">
        <v>-96.433999999999997</v>
      </c>
      <c r="K127" s="86">
        <v>-57.695</v>
      </c>
      <c r="L127" s="86">
        <v>-77.646000000000001</v>
      </c>
      <c r="M127" s="61">
        <v>-8.3379999999999992</v>
      </c>
      <c r="N127" s="61">
        <v>-6.0039999999999996</v>
      </c>
      <c r="O127" s="61">
        <v>-9.6710000000000012</v>
      </c>
      <c r="P127" s="61">
        <v>-3.4529999999999994</v>
      </c>
      <c r="Q127" s="61">
        <v>-11.385999999999999</v>
      </c>
      <c r="R127" s="61">
        <v>-2.7409999999999979</v>
      </c>
      <c r="S127" s="61">
        <v>-2.985000000000003</v>
      </c>
      <c r="T127" s="61">
        <v>-3.7149999999999999</v>
      </c>
      <c r="U127" s="61">
        <v>-6.2019999999999991</v>
      </c>
      <c r="V127" s="61">
        <v>-7.6590000000000016</v>
      </c>
      <c r="W127" s="61">
        <v>-9.9359999999999982</v>
      </c>
      <c r="X127" s="61">
        <v>-4.6579999999999959</v>
      </c>
      <c r="Y127" s="61">
        <v>-76.74799999999999</v>
      </c>
      <c r="AA127" s="61">
        <v>-57.695</v>
      </c>
      <c r="AB127" s="60">
        <v>-19.05</v>
      </c>
      <c r="AD127" s="61">
        <v>-77.646000000000001</v>
      </c>
      <c r="AE127" s="60">
        <v>0.9</v>
      </c>
    </row>
    <row r="128" spans="1:31" ht="18" customHeight="1" collapsed="1" x14ac:dyDescent="0.2">
      <c r="A128" s="30" t="s">
        <v>146</v>
      </c>
      <c r="B128" s="30" t="s">
        <v>18</v>
      </c>
      <c r="C128" s="4">
        <v>0.23580220254804576</v>
      </c>
      <c r="D128" s="4">
        <v>0.10337488598358163</v>
      </c>
      <c r="F128" s="106" t="s">
        <v>147</v>
      </c>
      <c r="H128" s="61">
        <v>-25.308</v>
      </c>
      <c r="I128" s="61">
        <v>-22.466000000000001</v>
      </c>
      <c r="J128" s="61">
        <v>-22.466000000000001</v>
      </c>
      <c r="K128" s="86">
        <v>-23.155000000000001</v>
      </c>
      <c r="L128" s="86">
        <v>-19.734000000000002</v>
      </c>
      <c r="M128" s="61">
        <v>-0.79</v>
      </c>
      <c r="N128" s="61">
        <v>-0.79</v>
      </c>
      <c r="O128" s="61">
        <v>-0.79</v>
      </c>
      <c r="P128" s="61">
        <v>-4.7909999999999995</v>
      </c>
      <c r="Q128" s="61">
        <v>-0.79</v>
      </c>
      <c r="R128" s="61">
        <v>-0.38900000000000023</v>
      </c>
      <c r="S128" s="61">
        <v>-0.77299999999999969</v>
      </c>
      <c r="T128" s="61">
        <v>-2.7240000000000002</v>
      </c>
      <c r="U128" s="61">
        <v>-0.72199999999999953</v>
      </c>
      <c r="V128" s="61">
        <v>-3.1710000000000012</v>
      </c>
      <c r="W128" s="61">
        <v>-3.0380000000000003</v>
      </c>
      <c r="X128" s="61">
        <v>1.0689999999999991</v>
      </c>
      <c r="Y128" s="61">
        <v>-17.699000000000002</v>
      </c>
      <c r="AA128" s="61">
        <v>-23.155000000000001</v>
      </c>
      <c r="AB128" s="60">
        <v>5.46</v>
      </c>
      <c r="AD128" s="61">
        <v>-19.734000000000002</v>
      </c>
      <c r="AE128" s="60">
        <v>2.04</v>
      </c>
    </row>
    <row r="129" spans="1:31" ht="18" hidden="1" customHeight="1" outlineLevel="1" x14ac:dyDescent="0.2">
      <c r="A129" s="30" t="s">
        <v>154</v>
      </c>
      <c r="B129" s="30" t="s">
        <v>18</v>
      </c>
      <c r="C129" s="4">
        <v>0.47503731962182782</v>
      </c>
      <c r="D129" s="4">
        <v>0.38473508130397577</v>
      </c>
      <c r="F129" s="38" t="s">
        <v>155</v>
      </c>
      <c r="G129" s="34"/>
      <c r="H129" s="66">
        <v>-19.672000000000001</v>
      </c>
      <c r="I129" s="66">
        <v>-22.849</v>
      </c>
      <c r="J129" s="66">
        <v>-22.849</v>
      </c>
      <c r="K129" s="86">
        <v>-30.145</v>
      </c>
      <c r="L129" s="86">
        <v>-25.706</v>
      </c>
      <c r="M129" s="66">
        <v>5.5511151231257802E-17</v>
      </c>
      <c r="N129" s="66">
        <v>5.6749999999999998</v>
      </c>
      <c r="O129" s="66">
        <v>-3.5149999999999997</v>
      </c>
      <c r="P129" s="66">
        <v>-7.048</v>
      </c>
      <c r="Q129" s="66">
        <v>0.69299999999999962</v>
      </c>
      <c r="R129" s="66">
        <v>0</v>
      </c>
      <c r="S129" s="66">
        <v>-3.7699999999999996</v>
      </c>
      <c r="T129" s="66">
        <v>-2.1630000000000003</v>
      </c>
      <c r="U129" s="66">
        <v>-8.6679999999999993</v>
      </c>
      <c r="V129" s="66">
        <v>2</v>
      </c>
      <c r="W129" s="66">
        <v>0.97499999999999964</v>
      </c>
      <c r="X129" s="66">
        <v>0</v>
      </c>
      <c r="Y129" s="66">
        <v>-15.821</v>
      </c>
      <c r="Z129" s="34"/>
      <c r="AA129" s="66">
        <v>-30.145</v>
      </c>
      <c r="AB129" s="60">
        <v>14.32</v>
      </c>
      <c r="AC129" s="34"/>
      <c r="AD129" s="66">
        <v>-25.706</v>
      </c>
      <c r="AE129" s="60">
        <v>9.89</v>
      </c>
    </row>
    <row r="130" spans="1:31" ht="18" hidden="1" customHeight="1" outlineLevel="1" x14ac:dyDescent="0.2">
      <c r="A130" s="30" t="s">
        <v>156</v>
      </c>
      <c r="B130" s="30" t="s">
        <v>18</v>
      </c>
      <c r="C130" s="4">
        <v>-1.261286456252497</v>
      </c>
      <c r="D130" s="4">
        <v>3.2145544080432249E-2</v>
      </c>
      <c r="F130" s="38" t="s">
        <v>157</v>
      </c>
      <c r="G130" s="34"/>
      <c r="H130" s="66">
        <v>-52.503</v>
      </c>
      <c r="I130" s="66">
        <v>-16.885000000000002</v>
      </c>
      <c r="J130" s="66">
        <v>-16.885000000000002</v>
      </c>
      <c r="K130" s="86">
        <v>-25.03</v>
      </c>
      <c r="L130" s="86">
        <v>-58.484000000000002</v>
      </c>
      <c r="M130" s="66">
        <v>-2.2000000000000002</v>
      </c>
      <c r="N130" s="66">
        <v>-2.2000000000000002</v>
      </c>
      <c r="O130" s="66">
        <v>-23.424999999999997</v>
      </c>
      <c r="P130" s="66">
        <v>-2.6550000000000047</v>
      </c>
      <c r="Q130" s="66">
        <v>-13.239999999999998</v>
      </c>
      <c r="R130" s="66">
        <v>-2.9410000000000025</v>
      </c>
      <c r="S130" s="66">
        <v>-4.2119999999999962</v>
      </c>
      <c r="T130" s="66">
        <v>0</v>
      </c>
      <c r="U130" s="66">
        <v>-1.1000000000000014</v>
      </c>
      <c r="V130" s="66">
        <v>-1.1000000000000014</v>
      </c>
      <c r="W130" s="66">
        <v>-2.2000000000000028</v>
      </c>
      <c r="X130" s="66">
        <v>-1.3269999999999982</v>
      </c>
      <c r="Y130" s="66">
        <v>-56.6</v>
      </c>
      <c r="Z130" s="34"/>
      <c r="AA130" s="66">
        <v>-25.03</v>
      </c>
      <c r="AB130" s="60">
        <v>-31.57</v>
      </c>
      <c r="AC130" s="34"/>
      <c r="AD130" s="66">
        <v>-58.484000000000002</v>
      </c>
      <c r="AE130" s="60">
        <v>1.88</v>
      </c>
    </row>
    <row r="131" spans="1:31" ht="18" hidden="1" customHeight="1" outlineLevel="1" x14ac:dyDescent="0.2">
      <c r="A131" s="30" t="s">
        <v>160</v>
      </c>
      <c r="B131" s="30" t="s">
        <v>18</v>
      </c>
      <c r="C131" s="4">
        <v>1.0005422993492408</v>
      </c>
      <c r="D131" s="4">
        <v>1.0005422993492408</v>
      </c>
      <c r="F131" s="38" t="s">
        <v>161</v>
      </c>
      <c r="G131" s="34"/>
      <c r="H131" s="66">
        <v>1.91</v>
      </c>
      <c r="I131" s="66">
        <v>9.0470000000000006</v>
      </c>
      <c r="J131" s="66">
        <v>9.0470000000000006</v>
      </c>
      <c r="K131" s="86">
        <v>0</v>
      </c>
      <c r="L131" s="8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3.6880000000000002</v>
      </c>
      <c r="X131" s="66">
        <v>0</v>
      </c>
      <c r="Y131" s="66">
        <v>3.6880000000000002</v>
      </c>
      <c r="Z131" s="34"/>
      <c r="AA131" s="66">
        <v>0</v>
      </c>
      <c r="AB131" s="60">
        <v>3.69</v>
      </c>
      <c r="AC131" s="34"/>
      <c r="AD131" s="66">
        <v>0</v>
      </c>
      <c r="AE131" s="60">
        <v>3.69</v>
      </c>
    </row>
    <row r="132" spans="1:31" ht="18" customHeight="1" collapsed="1" x14ac:dyDescent="0.2">
      <c r="A132" s="35"/>
      <c r="B132" s="35"/>
      <c r="C132" s="4">
        <v>-0.24576347983688271</v>
      </c>
      <c r="D132" s="4">
        <v>0.18363226036346361</v>
      </c>
      <c r="F132" s="106" t="s">
        <v>378</v>
      </c>
      <c r="H132" s="61">
        <v>-70.265000000000001</v>
      </c>
      <c r="I132" s="61">
        <v>-30.687000000000001</v>
      </c>
      <c r="J132" s="61">
        <v>-30.687000000000001</v>
      </c>
      <c r="K132" s="86">
        <v>-55.174999999999997</v>
      </c>
      <c r="L132" s="86">
        <v>-84.19</v>
      </c>
      <c r="M132" s="61">
        <v>-2.2000000000000002</v>
      </c>
      <c r="N132" s="61">
        <v>3.4749999999999996</v>
      </c>
      <c r="O132" s="61">
        <v>-26.939999999999998</v>
      </c>
      <c r="P132" s="61">
        <v>-9.7030000000000047</v>
      </c>
      <c r="Q132" s="61">
        <v>-12.546999999999999</v>
      </c>
      <c r="R132" s="61">
        <v>-2.9410000000000025</v>
      </c>
      <c r="S132" s="61">
        <v>-7.9819999999999958</v>
      </c>
      <c r="T132" s="61">
        <v>-2.1630000000000003</v>
      </c>
      <c r="U132" s="61">
        <v>-9.7680000000000007</v>
      </c>
      <c r="V132" s="61">
        <v>0.89999999999999858</v>
      </c>
      <c r="W132" s="61">
        <v>2.462999999999997</v>
      </c>
      <c r="X132" s="61">
        <v>-1.3269999999999982</v>
      </c>
      <c r="Y132" s="61">
        <v>-68.733000000000004</v>
      </c>
      <c r="AA132" s="61">
        <v>-55.17499999999999</v>
      </c>
      <c r="AB132" s="60">
        <v>-13.56</v>
      </c>
      <c r="AD132" s="61">
        <v>-84.19</v>
      </c>
      <c r="AE132" s="60">
        <v>15.46</v>
      </c>
    </row>
    <row r="133" spans="1:31" ht="18" hidden="1" customHeight="1" outlineLevel="1" x14ac:dyDescent="0.2">
      <c r="A133" s="30" t="s">
        <v>158</v>
      </c>
      <c r="B133" s="30" t="s">
        <v>18</v>
      </c>
      <c r="C133" s="4">
        <v>0.97317436661698964</v>
      </c>
      <c r="D133" s="4">
        <v>-16.249999999999996</v>
      </c>
      <c r="F133" s="38" t="s">
        <v>159</v>
      </c>
      <c r="G133" s="34"/>
      <c r="H133" s="66">
        <v>-1.2210000000000001</v>
      </c>
      <c r="I133" s="66">
        <v>-1.853</v>
      </c>
      <c r="J133" s="66">
        <v>-1.853</v>
      </c>
      <c r="K133" s="86">
        <v>-13.42</v>
      </c>
      <c r="L133" s="86">
        <v>2.4E-2</v>
      </c>
      <c r="M133" s="66">
        <v>-0.191</v>
      </c>
      <c r="N133" s="66">
        <v>-0.19800000000000001</v>
      </c>
      <c r="O133" s="66">
        <v>-9.5999999999999974E-2</v>
      </c>
      <c r="P133" s="66">
        <v>-2.5000000000000022E-2</v>
      </c>
      <c r="Q133" s="66">
        <v>0.80299999999999994</v>
      </c>
      <c r="R133" s="66">
        <v>-0.17499999999999993</v>
      </c>
      <c r="S133" s="66">
        <v>-5.099999999999999E-2</v>
      </c>
      <c r="T133" s="66">
        <v>-9.1999999999999998E-2</v>
      </c>
      <c r="U133" s="66">
        <v>-7.9000000000000001E-2</v>
      </c>
      <c r="V133" s="66">
        <v>-0.14800000000000002</v>
      </c>
      <c r="W133" s="66">
        <v>-0.16799999999999998</v>
      </c>
      <c r="X133" s="66">
        <v>5.5999999999999994E-2</v>
      </c>
      <c r="Y133" s="66">
        <v>-0.36399999999999999</v>
      </c>
      <c r="Z133" s="34"/>
      <c r="AA133" s="66">
        <v>-13.42</v>
      </c>
      <c r="AB133" s="60">
        <v>13.06</v>
      </c>
      <c r="AC133" s="34"/>
      <c r="AD133" s="66">
        <v>2.4000000000000004E-2</v>
      </c>
      <c r="AE133" s="60">
        <v>-0.39</v>
      </c>
    </row>
    <row r="134" spans="1:31" ht="18" hidden="1" customHeight="1" outlineLevel="1" x14ac:dyDescent="0.2">
      <c r="A134" s="30" t="s">
        <v>152</v>
      </c>
      <c r="B134" s="30" t="s">
        <v>18</v>
      </c>
      <c r="C134" s="4">
        <v>-1.0026917900403769</v>
      </c>
      <c r="D134" s="4">
        <v>-1.0026917900403769</v>
      </c>
      <c r="F134" s="38" t="s">
        <v>153</v>
      </c>
      <c r="G134" s="34"/>
      <c r="H134" s="66">
        <v>-0.441</v>
      </c>
      <c r="I134" s="66">
        <v>0</v>
      </c>
      <c r="J134" s="66">
        <v>0</v>
      </c>
      <c r="K134" s="86">
        <v>0</v>
      </c>
      <c r="L134" s="86">
        <v>0</v>
      </c>
      <c r="M134" s="66">
        <v>0</v>
      </c>
      <c r="N134" s="66">
        <v>0</v>
      </c>
      <c r="O134" s="66">
        <v>0</v>
      </c>
      <c r="P134" s="66">
        <v>-1.111</v>
      </c>
      <c r="Q134" s="66">
        <v>-0.37200000000000011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-2.9999999999998916E-3</v>
      </c>
      <c r="Y134" s="66">
        <v>-1.486</v>
      </c>
      <c r="Z134" s="34"/>
      <c r="AA134" s="66">
        <v>0</v>
      </c>
      <c r="AB134" s="60">
        <v>-1.49</v>
      </c>
      <c r="AC134" s="34"/>
      <c r="AD134" s="66">
        <v>0</v>
      </c>
      <c r="AE134" s="60">
        <v>-1.49</v>
      </c>
    </row>
    <row r="135" spans="1:31" ht="18" hidden="1" customHeight="1" outlineLevel="1" x14ac:dyDescent="0.2">
      <c r="A135" s="30" t="s">
        <v>269</v>
      </c>
      <c r="B135" s="30" t="s">
        <v>18</v>
      </c>
      <c r="C135" s="4">
        <v>0</v>
      </c>
      <c r="D135" s="4">
        <v>0</v>
      </c>
      <c r="F135" s="38" t="s">
        <v>271</v>
      </c>
      <c r="G135" s="34"/>
      <c r="H135" s="66">
        <v>0</v>
      </c>
      <c r="I135" s="66">
        <v>0</v>
      </c>
      <c r="J135" s="66">
        <v>0</v>
      </c>
      <c r="K135" s="86">
        <v>0</v>
      </c>
      <c r="L135" s="8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34"/>
      <c r="AA135" s="66">
        <v>0</v>
      </c>
      <c r="AB135" s="60">
        <v>0</v>
      </c>
      <c r="AC135" s="34"/>
      <c r="AD135" s="66">
        <v>0</v>
      </c>
      <c r="AE135" s="60">
        <v>0</v>
      </c>
    </row>
    <row r="136" spans="1:31" ht="18" hidden="1" customHeight="1" outlineLevel="1" x14ac:dyDescent="0.2">
      <c r="A136" s="30" t="s">
        <v>270</v>
      </c>
      <c r="B136" s="30" t="s">
        <v>18</v>
      </c>
      <c r="C136" s="4">
        <v>0</v>
      </c>
      <c r="D136" s="4">
        <v>1</v>
      </c>
      <c r="F136" s="38" t="s">
        <v>272</v>
      </c>
      <c r="G136" s="34"/>
      <c r="H136" s="66">
        <v>0</v>
      </c>
      <c r="I136" s="66">
        <v>0</v>
      </c>
      <c r="J136" s="66">
        <v>0</v>
      </c>
      <c r="K136" s="86">
        <v>0</v>
      </c>
      <c r="L136" s="86">
        <v>-1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34"/>
      <c r="AA136" s="66">
        <v>0</v>
      </c>
      <c r="AB136" s="60">
        <v>0</v>
      </c>
      <c r="AC136" s="34"/>
      <c r="AD136" s="66">
        <v>-1</v>
      </c>
      <c r="AE136" s="60">
        <v>1</v>
      </c>
    </row>
    <row r="137" spans="1:31" ht="18" hidden="1" customHeight="1" outlineLevel="1" x14ac:dyDescent="0.2">
      <c r="A137" s="30" t="s">
        <v>162</v>
      </c>
      <c r="B137" s="30" t="s">
        <v>18</v>
      </c>
      <c r="C137" s="4">
        <v>-1.0084033613445378</v>
      </c>
      <c r="D137" s="4">
        <v>0.76</v>
      </c>
      <c r="F137" s="38" t="s">
        <v>163</v>
      </c>
      <c r="G137" s="34"/>
      <c r="H137" s="66">
        <v>-0.23</v>
      </c>
      <c r="I137" s="66">
        <v>-0.23799999999999999</v>
      </c>
      <c r="J137" s="66">
        <v>-0.23799999999999999</v>
      </c>
      <c r="K137" s="86">
        <v>0</v>
      </c>
      <c r="L137" s="86">
        <v>-1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-0.23799999999999999</v>
      </c>
      <c r="Y137" s="66">
        <v>-0.23799999999999999</v>
      </c>
      <c r="Z137" s="34"/>
      <c r="AA137" s="66">
        <v>0</v>
      </c>
      <c r="AB137" s="60">
        <v>-0.24</v>
      </c>
      <c r="AC137" s="34"/>
      <c r="AD137" s="66">
        <v>-1</v>
      </c>
      <c r="AE137" s="60">
        <v>0.76</v>
      </c>
    </row>
    <row r="138" spans="1:31" ht="18" hidden="1" customHeight="1" outlineLevel="1" x14ac:dyDescent="0.2">
      <c r="A138" s="30" t="s">
        <v>164</v>
      </c>
      <c r="B138" s="30" t="s">
        <v>18</v>
      </c>
      <c r="C138" s="4">
        <v>0</v>
      </c>
      <c r="D138" s="4">
        <v>1</v>
      </c>
      <c r="F138" s="38" t="s">
        <v>165</v>
      </c>
      <c r="G138" s="34"/>
      <c r="H138" s="66">
        <v>0</v>
      </c>
      <c r="I138" s="66">
        <v>0</v>
      </c>
      <c r="J138" s="66">
        <v>0</v>
      </c>
      <c r="K138" s="86">
        <v>0</v>
      </c>
      <c r="L138" s="86">
        <v>-3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34"/>
      <c r="AA138" s="66">
        <v>0</v>
      </c>
      <c r="AB138" s="60">
        <v>0</v>
      </c>
      <c r="AC138" s="34"/>
      <c r="AD138" s="66">
        <v>-3</v>
      </c>
      <c r="AE138" s="60">
        <v>3</v>
      </c>
    </row>
    <row r="139" spans="1:31" ht="18" hidden="1" customHeight="1" outlineLevel="1" x14ac:dyDescent="0.2">
      <c r="A139" s="30" t="s">
        <v>166</v>
      </c>
      <c r="B139" s="30" t="s">
        <v>18</v>
      </c>
      <c r="C139" s="4">
        <v>0</v>
      </c>
      <c r="D139" s="4">
        <v>0</v>
      </c>
      <c r="F139" s="38" t="s">
        <v>167</v>
      </c>
      <c r="G139" s="34"/>
      <c r="H139" s="66">
        <v>0</v>
      </c>
      <c r="I139" s="66">
        <v>0</v>
      </c>
      <c r="J139" s="66">
        <v>0</v>
      </c>
      <c r="K139" s="86">
        <v>0</v>
      </c>
      <c r="L139" s="8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34"/>
      <c r="AA139" s="66">
        <v>0</v>
      </c>
      <c r="AB139" s="60">
        <v>0</v>
      </c>
      <c r="AC139" s="34"/>
      <c r="AD139" s="66">
        <v>0</v>
      </c>
      <c r="AE139" s="60">
        <v>0</v>
      </c>
    </row>
    <row r="140" spans="1:31" ht="18" customHeight="1" collapsed="1" x14ac:dyDescent="0.2">
      <c r="A140" s="30" t="s">
        <v>408</v>
      </c>
      <c r="B140" s="30" t="s">
        <v>18</v>
      </c>
      <c r="C140" s="4"/>
      <c r="D140" s="4"/>
      <c r="F140" s="106" t="s">
        <v>409</v>
      </c>
      <c r="G140" s="34"/>
      <c r="H140" s="61">
        <v>-3.4590000000000001</v>
      </c>
      <c r="I140" s="61">
        <v>-3.4569999999999999</v>
      </c>
      <c r="J140" s="61">
        <v>-3.4569999999999999</v>
      </c>
      <c r="K140" s="86">
        <v>0</v>
      </c>
      <c r="L140" s="86">
        <v>0</v>
      </c>
      <c r="M140" s="61">
        <v>0</v>
      </c>
      <c r="N140" s="197">
        <v>-0.95399999999999996</v>
      </c>
      <c r="O140" s="61">
        <v>0</v>
      </c>
      <c r="P140" s="61">
        <v>0</v>
      </c>
      <c r="Q140" s="61">
        <v>-1.0890000000000002</v>
      </c>
      <c r="R140" s="61">
        <v>0</v>
      </c>
      <c r="S140" s="61">
        <v>0</v>
      </c>
      <c r="T140" s="61">
        <v>-0.89799999999999969</v>
      </c>
      <c r="U140" s="61">
        <v>0</v>
      </c>
      <c r="V140" s="61">
        <v>0</v>
      </c>
      <c r="W140" s="61">
        <v>-0.91400000000000015</v>
      </c>
      <c r="X140" s="61">
        <v>0</v>
      </c>
      <c r="Y140" s="61">
        <v>-3.855</v>
      </c>
      <c r="AA140" s="241">
        <v>0</v>
      </c>
      <c r="AB140" s="60">
        <v>-3.86</v>
      </c>
      <c r="AD140" s="61">
        <v>0</v>
      </c>
      <c r="AE140" s="60">
        <v>-3.86</v>
      </c>
    </row>
    <row r="141" spans="1:31" ht="18" customHeight="1" x14ac:dyDescent="0.2">
      <c r="A141" s="35"/>
      <c r="B141" s="35"/>
      <c r="C141" s="4">
        <v>0.84426229508196726</v>
      </c>
      <c r="D141" s="4">
        <v>0.58078778135048237</v>
      </c>
      <c r="F141" s="106" t="s">
        <v>189</v>
      </c>
      <c r="H141" s="61">
        <v>-1.8920000000000001</v>
      </c>
      <c r="I141" s="61">
        <v>-2.0910000000000002</v>
      </c>
      <c r="J141" s="61">
        <v>-2.0910000000000002</v>
      </c>
      <c r="K141" s="86">
        <v>-13.42</v>
      </c>
      <c r="L141" s="86">
        <v>-4.976</v>
      </c>
      <c r="M141" s="61">
        <v>-0.191</v>
      </c>
      <c r="N141" s="61">
        <v>-0.19800000000000001</v>
      </c>
      <c r="O141" s="61">
        <v>-9.5999999999999974E-2</v>
      </c>
      <c r="P141" s="61">
        <v>-1.1360000000000001</v>
      </c>
      <c r="Q141" s="61">
        <v>0.43099999999999983</v>
      </c>
      <c r="R141" s="61">
        <v>-0.17499999999999993</v>
      </c>
      <c r="S141" s="61">
        <v>-5.099999999999999E-2</v>
      </c>
      <c r="T141" s="61">
        <v>-9.1999999999999998E-2</v>
      </c>
      <c r="U141" s="61">
        <v>-7.9000000000000001E-2</v>
      </c>
      <c r="V141" s="61">
        <v>-0.14800000000000002</v>
      </c>
      <c r="W141" s="61">
        <v>-0.16799999999999998</v>
      </c>
      <c r="X141" s="61">
        <v>-0.18499999999999989</v>
      </c>
      <c r="Y141" s="61">
        <v>-2.0880000000000001</v>
      </c>
      <c r="AA141" s="61">
        <v>-13.42</v>
      </c>
      <c r="AB141" s="60">
        <v>11.33</v>
      </c>
      <c r="AD141" s="61">
        <v>-4.976</v>
      </c>
      <c r="AE141" s="60">
        <v>2.89</v>
      </c>
    </row>
    <row r="142" spans="1:31" ht="18" customHeight="1" x14ac:dyDescent="0.2">
      <c r="A142" s="35"/>
      <c r="B142" s="35"/>
      <c r="C142" s="4">
        <v>3.0129310344827586E-2</v>
      </c>
      <c r="D142" s="4">
        <v>2.7614520311149523E-2</v>
      </c>
      <c r="F142" s="95" t="s">
        <v>65</v>
      </c>
      <c r="H142" s="195">
        <v>-365.03099999999995</v>
      </c>
      <c r="I142" s="195">
        <v>-404.90700000000004</v>
      </c>
      <c r="J142" s="64">
        <v>-404.90700000000004</v>
      </c>
      <c r="K142" s="89">
        <v>-464</v>
      </c>
      <c r="L142" s="89">
        <v>-462.8</v>
      </c>
      <c r="M142" s="64">
        <v>-35.081000000000003</v>
      </c>
      <c r="N142" s="64">
        <v>-28.067999999999998</v>
      </c>
      <c r="O142" s="64">
        <v>-64.358000000000004</v>
      </c>
      <c r="P142" s="64">
        <v>-43.19100000000001</v>
      </c>
      <c r="Q142" s="64">
        <v>-44.22</v>
      </c>
      <c r="R142" s="64">
        <v>-30.047000000000004</v>
      </c>
      <c r="S142" s="64">
        <v>-34.487999999999985</v>
      </c>
      <c r="T142" s="64">
        <v>-27.749000000000009</v>
      </c>
      <c r="U142" s="64">
        <v>-40.988</v>
      </c>
      <c r="V142" s="64">
        <v>-34.739000000000019</v>
      </c>
      <c r="W142" s="64">
        <v>-35.577999999999982</v>
      </c>
      <c r="X142" s="64">
        <v>-31.516000000000005</v>
      </c>
      <c r="Y142" s="64">
        <v>-450.02300000000002</v>
      </c>
      <c r="AA142" s="64">
        <v>-464</v>
      </c>
      <c r="AB142" s="60">
        <v>13.98</v>
      </c>
      <c r="AD142" s="64">
        <v>-462.8</v>
      </c>
      <c r="AE142" s="60">
        <v>12.78</v>
      </c>
    </row>
    <row r="143" spans="1:31" ht="12.95" customHeight="1" x14ac:dyDescent="0.2">
      <c r="A143" s="35"/>
      <c r="B143" s="35"/>
      <c r="C143" s="4"/>
      <c r="D143" s="4"/>
      <c r="F143" s="39" t="s">
        <v>223</v>
      </c>
      <c r="H143" s="56">
        <v>6.4624367797207885E-2</v>
      </c>
      <c r="I143" s="56">
        <v>6.685355840033709E-2</v>
      </c>
      <c r="J143" s="56">
        <v>6.685355840033709E-2</v>
      </c>
      <c r="K143" s="109">
        <v>7.133656746271512E-2</v>
      </c>
      <c r="L143" s="109">
        <v>6.8662885262508688E-2</v>
      </c>
      <c r="M143" s="56">
        <v>7.4809782145111497E-2</v>
      </c>
      <c r="N143" s="56">
        <v>5.5687934875987798E-2</v>
      </c>
      <c r="O143" s="56">
        <v>0.124426760704978</v>
      </c>
      <c r="P143" s="56">
        <v>7.3667692884981137E-2</v>
      </c>
      <c r="Q143" s="56">
        <v>7.1378301771059971E-2</v>
      </c>
      <c r="R143" s="56">
        <v>5.1328875845174628E-2</v>
      </c>
      <c r="S143" s="56">
        <v>6.2010709109935565E-2</v>
      </c>
      <c r="T143" s="56">
        <v>4.9911594836347065E-2</v>
      </c>
      <c r="U143" s="56">
        <v>6.9896965583571766E-2</v>
      </c>
      <c r="V143" s="56">
        <v>5.4863815687649441E-2</v>
      </c>
      <c r="W143" s="56">
        <v>6.0360930472446721E-2</v>
      </c>
      <c r="X143" s="56">
        <v>5.1957900845412214E-2</v>
      </c>
      <c r="Y143" s="56">
        <v>6.6091465325636575E-2</v>
      </c>
      <c r="AA143" s="56">
        <v>7.133656746271512E-2</v>
      </c>
      <c r="AB143" s="57"/>
      <c r="AD143" s="56">
        <v>6.8662885262508688E-2</v>
      </c>
      <c r="AE143" s="57"/>
    </row>
    <row r="144" spans="1:31" ht="6.95" customHeight="1" x14ac:dyDescent="0.2">
      <c r="C144" s="4"/>
      <c r="D144" s="4"/>
      <c r="F144" s="96"/>
      <c r="H144" s="16"/>
      <c r="I144" s="16"/>
      <c r="J144" s="16"/>
      <c r="K144" s="85"/>
      <c r="L144" s="85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AA144" s="16"/>
      <c r="AB144" s="20"/>
      <c r="AD144" s="16"/>
      <c r="AE144" s="20"/>
    </row>
    <row r="145" spans="1:31" ht="18" hidden="1" customHeight="1" outlineLevel="1" collapsed="1" x14ac:dyDescent="0.2">
      <c r="A145" s="35"/>
      <c r="B145" s="35"/>
      <c r="C145" s="4"/>
      <c r="D145" s="4"/>
      <c r="F145" s="97" t="s">
        <v>242</v>
      </c>
      <c r="H145" s="74">
        <v>0.41670000000000001</v>
      </c>
      <c r="I145" s="74">
        <v>2.2274600000000002</v>
      </c>
      <c r="J145" s="74">
        <v>2.2274600000000002</v>
      </c>
      <c r="K145" s="112">
        <v>1.3</v>
      </c>
      <c r="L145" s="112">
        <v>2.94</v>
      </c>
      <c r="M145" s="74">
        <v>2.6227200000000002</v>
      </c>
      <c r="N145" s="74">
        <v>2.2559999999999998</v>
      </c>
      <c r="O145" s="74">
        <v>5.8692000000000002</v>
      </c>
      <c r="P145" s="74">
        <v>4.8611999999999984</v>
      </c>
      <c r="Q145" s="74">
        <v>1.0368000000000017</v>
      </c>
      <c r="R145" s="74">
        <v>3.7243200000000005</v>
      </c>
      <c r="S145" s="74">
        <v>4.5170399999999997</v>
      </c>
      <c r="T145" s="74">
        <v>2.4993600000000002</v>
      </c>
      <c r="U145" s="74">
        <v>4.4323200000000007</v>
      </c>
      <c r="V145" s="74">
        <v>-0.8884799999999996</v>
      </c>
      <c r="W145" s="74">
        <v>1.9533599999999955</v>
      </c>
      <c r="X145" s="74">
        <v>4.594800000000002</v>
      </c>
      <c r="Y145" s="74">
        <v>3.1232199999999999</v>
      </c>
      <c r="AA145" s="74">
        <v>1.3</v>
      </c>
      <c r="AB145" s="73">
        <v>1.82</v>
      </c>
      <c r="AD145" s="74">
        <v>2.94</v>
      </c>
      <c r="AE145" s="73">
        <v>0.18</v>
      </c>
    </row>
    <row r="146" spans="1:31" ht="18" customHeight="1" collapsed="1" x14ac:dyDescent="0.2">
      <c r="A146" s="30" t="s">
        <v>79</v>
      </c>
      <c r="B146" s="30" t="s">
        <v>18</v>
      </c>
      <c r="C146" s="4">
        <v>-1.4024615384615384</v>
      </c>
      <c r="D146" s="4">
        <v>-6.2312925170068027E-2</v>
      </c>
      <c r="F146" s="106" t="s">
        <v>83</v>
      </c>
      <c r="H146" s="61">
        <v>-20.835000000000001</v>
      </c>
      <c r="I146" s="61">
        <v>-111.373</v>
      </c>
      <c r="J146" s="61">
        <v>-111.373</v>
      </c>
      <c r="K146" s="86">
        <v>-65</v>
      </c>
      <c r="L146" s="86">
        <v>-147</v>
      </c>
      <c r="M146" s="61">
        <v>-10.928000000000001</v>
      </c>
      <c r="N146" s="61">
        <v>-9.3999999999999986</v>
      </c>
      <c r="O146" s="61">
        <v>-24.455000000000002</v>
      </c>
      <c r="P146" s="61">
        <v>-20.254999999999995</v>
      </c>
      <c r="Q146" s="61">
        <v>-4.3200000000000074</v>
      </c>
      <c r="R146" s="61">
        <v>-15.518000000000001</v>
      </c>
      <c r="S146" s="61">
        <v>-18.820999999999998</v>
      </c>
      <c r="T146" s="61">
        <v>-10.414000000000001</v>
      </c>
      <c r="U146" s="61">
        <v>-18.468000000000004</v>
      </c>
      <c r="V146" s="61">
        <v>3.7019999999999982</v>
      </c>
      <c r="W146" s="61">
        <v>-8.1389999999999816</v>
      </c>
      <c r="X146" s="61">
        <v>-19.14500000000001</v>
      </c>
      <c r="Y146" s="61">
        <v>-156.161</v>
      </c>
      <c r="AA146" s="61">
        <v>-65</v>
      </c>
      <c r="AB146" s="60">
        <v>-91.16</v>
      </c>
      <c r="AD146" s="61">
        <v>-147</v>
      </c>
      <c r="AE146" s="60">
        <v>-9.16</v>
      </c>
    </row>
    <row r="147" spans="1:31" ht="18" customHeight="1" x14ac:dyDescent="0.2">
      <c r="A147" s="30" t="s">
        <v>80</v>
      </c>
      <c r="B147" s="30" t="s">
        <v>18</v>
      </c>
      <c r="C147" s="4">
        <v>0.99700000000000011</v>
      </c>
      <c r="D147" s="4">
        <v>0.97029702970297027</v>
      </c>
      <c r="F147" s="106" t="s">
        <v>84</v>
      </c>
      <c r="H147" s="61">
        <v>-0.105</v>
      </c>
      <c r="I147" s="61">
        <v>-8.9109999999999996</v>
      </c>
      <c r="J147" s="61">
        <v>-8.9109999999999996</v>
      </c>
      <c r="K147" s="86">
        <v>-10</v>
      </c>
      <c r="L147" s="86">
        <v>-1.01</v>
      </c>
      <c r="M147" s="61">
        <v>0</v>
      </c>
      <c r="N147" s="61">
        <v>0</v>
      </c>
      <c r="O147" s="61">
        <v>0</v>
      </c>
      <c r="P147" s="61">
        <v>-2.1999999999999999E-2</v>
      </c>
      <c r="Q147" s="61">
        <v>-1.0000000000000002E-2</v>
      </c>
      <c r="R147" s="61">
        <v>0</v>
      </c>
      <c r="S147" s="61">
        <v>0</v>
      </c>
      <c r="T147" s="61">
        <v>0</v>
      </c>
      <c r="U147" s="61">
        <v>0</v>
      </c>
      <c r="V147" s="61">
        <v>0</v>
      </c>
      <c r="W147" s="61">
        <v>0</v>
      </c>
      <c r="X147" s="61">
        <v>0</v>
      </c>
      <c r="Y147" s="61">
        <v>-3.2000000000000001E-2</v>
      </c>
      <c r="AA147" s="61">
        <v>-10</v>
      </c>
      <c r="AB147" s="60">
        <v>9.9700000000000006</v>
      </c>
      <c r="AD147" s="61">
        <v>-1.01</v>
      </c>
      <c r="AE147" s="60">
        <v>0.98</v>
      </c>
    </row>
    <row r="148" spans="1:31" ht="18" customHeight="1" x14ac:dyDescent="0.2">
      <c r="A148" s="30" t="s">
        <v>81</v>
      </c>
      <c r="B148" s="30" t="s">
        <v>18</v>
      </c>
      <c r="C148" s="4">
        <v>-3.1112500000000001</v>
      </c>
      <c r="D148" s="4">
        <v>-9.633333333333334E-2</v>
      </c>
      <c r="F148" s="106" t="s">
        <v>85</v>
      </c>
      <c r="H148" s="61">
        <v>-17.274000000000001</v>
      </c>
      <c r="I148" s="61">
        <v>-29.777999999999999</v>
      </c>
      <c r="J148" s="61">
        <v>-29.777999999999999</v>
      </c>
      <c r="K148" s="86">
        <v>-16</v>
      </c>
      <c r="L148" s="86">
        <v>-60</v>
      </c>
      <c r="M148" s="61">
        <v>-12.074999999999999</v>
      </c>
      <c r="N148" s="61">
        <v>-4.9009999999999998</v>
      </c>
      <c r="O148" s="61">
        <v>-4.027000000000001</v>
      </c>
      <c r="P148" s="61">
        <v>-5.0350000000000001</v>
      </c>
      <c r="Q148" s="61">
        <v>-4.1969999999999992</v>
      </c>
      <c r="R148" s="61">
        <v>-3.2659999999999982</v>
      </c>
      <c r="S148" s="61">
        <v>-1.6540000000000035</v>
      </c>
      <c r="T148" s="61">
        <v>-8.1569999999999965</v>
      </c>
      <c r="U148" s="61">
        <v>-2.0820000000000007</v>
      </c>
      <c r="V148" s="61">
        <v>-5.3260000000000005</v>
      </c>
      <c r="W148" s="61">
        <v>-10.618000000000002</v>
      </c>
      <c r="X148" s="61">
        <v>-4.4409999999999954</v>
      </c>
      <c r="Y148" s="61">
        <v>-65.778999999999996</v>
      </c>
      <c r="AA148" s="61">
        <v>-16</v>
      </c>
      <c r="AB148" s="60">
        <v>-49.78</v>
      </c>
      <c r="AD148" s="61">
        <v>-60</v>
      </c>
      <c r="AE148" s="60">
        <v>-5.78</v>
      </c>
    </row>
    <row r="149" spans="1:31" ht="18" customHeight="1" x14ac:dyDescent="0.2">
      <c r="A149" s="30" t="s">
        <v>204</v>
      </c>
      <c r="B149" s="30" t="s">
        <v>18</v>
      </c>
      <c r="C149" s="4">
        <v>1.2123529411764706</v>
      </c>
      <c r="D149" s="4">
        <v>4.6100000000000003</v>
      </c>
      <c r="F149" s="104" t="s">
        <v>139</v>
      </c>
      <c r="G149" s="36"/>
      <c r="H149" s="65">
        <v>-39.304000000000002</v>
      </c>
      <c r="I149" s="65">
        <v>-19.544</v>
      </c>
      <c r="J149" s="65">
        <v>-19.544</v>
      </c>
      <c r="K149" s="65">
        <v>-34</v>
      </c>
      <c r="L149" s="65">
        <v>-2</v>
      </c>
      <c r="M149" s="65">
        <v>0</v>
      </c>
      <c r="N149" s="65">
        <v>0</v>
      </c>
      <c r="O149" s="65">
        <v>2.7755575615628901E-17</v>
      </c>
      <c r="P149" s="65">
        <v>0</v>
      </c>
      <c r="Q149" s="65">
        <v>0</v>
      </c>
      <c r="R149" s="65">
        <v>0</v>
      </c>
      <c r="S149" s="65">
        <v>0</v>
      </c>
      <c r="T149" s="65">
        <v>0</v>
      </c>
      <c r="U149" s="65">
        <v>0</v>
      </c>
      <c r="V149" s="65">
        <v>-0.5</v>
      </c>
      <c r="W149" s="65">
        <v>0</v>
      </c>
      <c r="X149" s="65">
        <v>7.72</v>
      </c>
      <c r="Y149" s="65">
        <v>7.22</v>
      </c>
      <c r="Z149" s="36"/>
      <c r="AA149" s="65">
        <v>-34</v>
      </c>
      <c r="AB149" s="60">
        <v>41.22</v>
      </c>
      <c r="AC149" s="36"/>
      <c r="AD149" s="65">
        <v>-2</v>
      </c>
      <c r="AE149" s="60">
        <v>9.2200000000000006</v>
      </c>
    </row>
    <row r="150" spans="1:31" ht="18" customHeight="1" x14ac:dyDescent="0.2">
      <c r="A150" s="30" t="s">
        <v>82</v>
      </c>
      <c r="B150" s="30" t="s">
        <v>18</v>
      </c>
      <c r="C150" s="4">
        <v>-0.33500000000000002</v>
      </c>
      <c r="D150" s="4">
        <v>0.11</v>
      </c>
      <c r="F150" s="106" t="s">
        <v>86</v>
      </c>
      <c r="H150" s="61">
        <v>-5.9749999999999996</v>
      </c>
      <c r="I150" s="61">
        <v>-3.8079999999999998</v>
      </c>
      <c r="J150" s="61">
        <v>-3.8079999999999998</v>
      </c>
      <c r="K150" s="86">
        <v>-4</v>
      </c>
      <c r="L150" s="86">
        <v>-6</v>
      </c>
      <c r="M150" s="61">
        <v>-0.58799999999999997</v>
      </c>
      <c r="N150" s="61">
        <v>-0.56500000000000006</v>
      </c>
      <c r="O150" s="61">
        <v>-0.96300000000000008</v>
      </c>
      <c r="P150" s="61">
        <v>-0.29599999999999982</v>
      </c>
      <c r="Q150" s="61">
        <v>-0.29200000000000026</v>
      </c>
      <c r="R150" s="61">
        <v>-9.9999999999997868E-3</v>
      </c>
      <c r="S150" s="61">
        <v>-0.43100000000000005</v>
      </c>
      <c r="T150" s="61">
        <v>-0.65300000000000002</v>
      </c>
      <c r="U150" s="61">
        <v>-1.1849999999999996</v>
      </c>
      <c r="V150" s="61">
        <v>2.1999999999999353E-2</v>
      </c>
      <c r="W150" s="61">
        <v>-0.23599999999999977</v>
      </c>
      <c r="X150" s="61">
        <v>-0.14599999999999991</v>
      </c>
      <c r="Y150" s="61">
        <v>-5.343</v>
      </c>
      <c r="AA150" s="61">
        <v>-4</v>
      </c>
      <c r="AB150" s="60">
        <v>-1.34</v>
      </c>
      <c r="AD150" s="61">
        <v>-6</v>
      </c>
      <c r="AE150" s="60">
        <v>0.66</v>
      </c>
    </row>
    <row r="151" spans="1:31" ht="18" hidden="1" customHeight="1" outlineLevel="1" x14ac:dyDescent="0.2">
      <c r="A151" s="30" t="s">
        <v>140</v>
      </c>
      <c r="B151" s="30" t="s">
        <v>18</v>
      </c>
      <c r="C151" s="4">
        <v>0</v>
      </c>
      <c r="D151" s="4">
        <v>0</v>
      </c>
      <c r="F151" s="38" t="s">
        <v>141</v>
      </c>
      <c r="G151" s="34"/>
      <c r="H151" s="66">
        <v>0</v>
      </c>
      <c r="I151" s="66">
        <v>0</v>
      </c>
      <c r="J151" s="66">
        <v>0</v>
      </c>
      <c r="K151" s="86">
        <v>0</v>
      </c>
      <c r="L151" s="8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34"/>
      <c r="AA151" s="66">
        <v>0</v>
      </c>
      <c r="AB151" s="60">
        <v>0</v>
      </c>
      <c r="AC151" s="34"/>
      <c r="AD151" s="66">
        <v>0</v>
      </c>
      <c r="AE151" s="60">
        <v>0</v>
      </c>
    </row>
    <row r="152" spans="1:31" ht="18" hidden="1" customHeight="1" outlineLevel="1" x14ac:dyDescent="0.2">
      <c r="A152" s="30" t="s">
        <v>123</v>
      </c>
      <c r="B152" s="30" t="s">
        <v>18</v>
      </c>
      <c r="C152" s="4">
        <v>0</v>
      </c>
      <c r="D152" s="4">
        <v>0</v>
      </c>
      <c r="F152" s="38" t="s">
        <v>142</v>
      </c>
      <c r="G152" s="34"/>
      <c r="H152" s="66">
        <v>0</v>
      </c>
      <c r="I152" s="66">
        <v>0</v>
      </c>
      <c r="J152" s="66">
        <v>0</v>
      </c>
      <c r="K152" s="86">
        <v>0</v>
      </c>
      <c r="L152" s="8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34"/>
      <c r="AA152" s="66">
        <v>0</v>
      </c>
      <c r="AB152" s="60">
        <v>0</v>
      </c>
      <c r="AC152" s="34"/>
      <c r="AD152" s="66">
        <v>0</v>
      </c>
      <c r="AE152" s="60">
        <v>0</v>
      </c>
    </row>
    <row r="153" spans="1:31" ht="18" hidden="1" customHeight="1" outlineLevel="1" x14ac:dyDescent="0.2">
      <c r="A153" s="30" t="s">
        <v>124</v>
      </c>
      <c r="B153" s="30" t="s">
        <v>18</v>
      </c>
      <c r="C153" s="4">
        <v>0</v>
      </c>
      <c r="D153" s="4">
        <v>0</v>
      </c>
      <c r="F153" s="38" t="s">
        <v>143</v>
      </c>
      <c r="G153" s="34"/>
      <c r="H153" s="66">
        <v>0</v>
      </c>
      <c r="I153" s="66">
        <v>0</v>
      </c>
      <c r="J153" s="66">
        <v>0</v>
      </c>
      <c r="K153" s="86">
        <v>0</v>
      </c>
      <c r="L153" s="8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34"/>
      <c r="AA153" s="66">
        <v>0</v>
      </c>
      <c r="AB153" s="60">
        <v>0</v>
      </c>
      <c r="AC153" s="34"/>
      <c r="AD153" s="66">
        <v>0</v>
      </c>
      <c r="AE153" s="60">
        <v>0</v>
      </c>
    </row>
    <row r="154" spans="1:31" ht="18" hidden="1" customHeight="1" outlineLevel="1" x14ac:dyDescent="0.2">
      <c r="A154" s="30" t="s">
        <v>265</v>
      </c>
      <c r="B154" s="30" t="s">
        <v>18</v>
      </c>
      <c r="C154" s="4">
        <v>0</v>
      </c>
      <c r="D154" s="4">
        <v>0</v>
      </c>
      <c r="F154" s="38" t="s">
        <v>266</v>
      </c>
      <c r="G154" s="34"/>
      <c r="H154" s="66">
        <v>0</v>
      </c>
      <c r="I154" s="66">
        <v>0</v>
      </c>
      <c r="J154" s="66">
        <v>0</v>
      </c>
      <c r="K154" s="86">
        <v>0</v>
      </c>
      <c r="L154" s="8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34"/>
      <c r="AA154" s="66">
        <v>0</v>
      </c>
      <c r="AB154" s="60">
        <v>0</v>
      </c>
      <c r="AC154" s="34"/>
      <c r="AD154" s="66">
        <v>0</v>
      </c>
      <c r="AE154" s="60">
        <v>0</v>
      </c>
    </row>
    <row r="155" spans="1:31" ht="18" hidden="1" customHeight="1" outlineLevel="1" x14ac:dyDescent="0.2">
      <c r="A155" s="30" t="s">
        <v>144</v>
      </c>
      <c r="B155" s="30" t="s">
        <v>18</v>
      </c>
      <c r="C155" s="4">
        <v>0</v>
      </c>
      <c r="D155" s="4">
        <v>0</v>
      </c>
      <c r="F155" s="38" t="s">
        <v>145</v>
      </c>
      <c r="G155" s="34"/>
      <c r="H155" s="66">
        <v>0</v>
      </c>
      <c r="I155" s="66">
        <v>0</v>
      </c>
      <c r="J155" s="66">
        <v>0</v>
      </c>
      <c r="K155" s="86">
        <v>0</v>
      </c>
      <c r="L155" s="8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34"/>
      <c r="AA155" s="66">
        <v>0</v>
      </c>
      <c r="AB155" s="60">
        <v>0</v>
      </c>
      <c r="AC155" s="34"/>
      <c r="AD155" s="66">
        <v>0</v>
      </c>
      <c r="AE155" s="60">
        <v>0</v>
      </c>
    </row>
    <row r="156" spans="1:31" ht="18" customHeight="1" collapsed="1" x14ac:dyDescent="0.2">
      <c r="A156" s="35"/>
      <c r="B156" s="35"/>
      <c r="C156" s="4">
        <v>0</v>
      </c>
      <c r="D156" s="4">
        <v>0</v>
      </c>
      <c r="F156" s="106" t="s">
        <v>69</v>
      </c>
      <c r="H156" s="61">
        <v>0</v>
      </c>
      <c r="I156" s="61">
        <v>0</v>
      </c>
      <c r="J156" s="61">
        <v>0</v>
      </c>
      <c r="K156" s="86">
        <v>0</v>
      </c>
      <c r="L156" s="86">
        <v>0</v>
      </c>
      <c r="M156" s="61">
        <v>0</v>
      </c>
      <c r="N156" s="61">
        <v>0</v>
      </c>
      <c r="O156" s="61">
        <v>0</v>
      </c>
      <c r="P156" s="61">
        <v>0</v>
      </c>
      <c r="Q156" s="61">
        <v>0</v>
      </c>
      <c r="R156" s="61">
        <v>0</v>
      </c>
      <c r="S156" s="61">
        <v>0</v>
      </c>
      <c r="T156" s="61">
        <v>0</v>
      </c>
      <c r="U156" s="61">
        <v>0</v>
      </c>
      <c r="V156" s="61">
        <v>0</v>
      </c>
      <c r="W156" s="61">
        <v>0</v>
      </c>
      <c r="X156" s="61">
        <v>0</v>
      </c>
      <c r="Y156" s="61">
        <v>0</v>
      </c>
      <c r="AA156" s="61">
        <v>0</v>
      </c>
      <c r="AB156" s="60">
        <v>0</v>
      </c>
      <c r="AD156" s="61">
        <v>0</v>
      </c>
      <c r="AE156" s="60">
        <v>0</v>
      </c>
    </row>
    <row r="157" spans="1:31" ht="18" customHeight="1" x14ac:dyDescent="0.2">
      <c r="A157" s="35"/>
      <c r="B157" s="35"/>
      <c r="C157" s="4">
        <v>-0.70620155038759691</v>
      </c>
      <c r="D157" s="4">
        <v>-1.8934308596824222E-2</v>
      </c>
      <c r="F157" s="95" t="s">
        <v>276</v>
      </c>
      <c r="H157" s="64">
        <v>-83.492999999999995</v>
      </c>
      <c r="I157" s="64">
        <v>-173.41400000000002</v>
      </c>
      <c r="J157" s="64">
        <v>-173.41400000000002</v>
      </c>
      <c r="K157" s="89">
        <v>-129</v>
      </c>
      <c r="L157" s="89">
        <v>-216.01</v>
      </c>
      <c r="M157" s="64">
        <v>-23.591000000000001</v>
      </c>
      <c r="N157" s="64">
        <v>-14.865999999999998</v>
      </c>
      <c r="O157" s="64">
        <v>-29.445000000000004</v>
      </c>
      <c r="P157" s="64">
        <v>-25.607999999999993</v>
      </c>
      <c r="Q157" s="64">
        <v>-8.8190000000000062</v>
      </c>
      <c r="R157" s="64">
        <v>-18.793999999999997</v>
      </c>
      <c r="S157" s="64">
        <v>-20.906000000000002</v>
      </c>
      <c r="T157" s="64">
        <v>-19.223999999999997</v>
      </c>
      <c r="U157" s="64">
        <v>-21.735000000000003</v>
      </c>
      <c r="V157" s="64">
        <v>-2.102000000000003</v>
      </c>
      <c r="W157" s="64">
        <v>-18.992999999999984</v>
      </c>
      <c r="X157" s="64">
        <v>-16.012000000000008</v>
      </c>
      <c r="Y157" s="64">
        <v>-220.095</v>
      </c>
      <c r="AA157" s="64">
        <v>-129</v>
      </c>
      <c r="AB157" s="60">
        <v>-91.1</v>
      </c>
      <c r="AD157" s="64">
        <v>-216.01</v>
      </c>
      <c r="AE157" s="60">
        <v>-4.09</v>
      </c>
    </row>
    <row r="158" spans="1:31" ht="12.95" customHeight="1" x14ac:dyDescent="0.2">
      <c r="A158" s="35"/>
      <c r="B158" s="35"/>
      <c r="C158" s="4"/>
      <c r="D158" s="4"/>
      <c r="F158" s="39" t="s">
        <v>223</v>
      </c>
      <c r="H158" s="56">
        <v>1.4781435934187175E-2</v>
      </c>
      <c r="I158" s="56">
        <v>2.8632112994924897E-2</v>
      </c>
      <c r="J158" s="56">
        <v>2.8632112994924897E-2</v>
      </c>
      <c r="K158" s="109">
        <v>1.9832795695453126E-2</v>
      </c>
      <c r="L158" s="109">
        <v>3.2048119804568932E-2</v>
      </c>
      <c r="M158" s="56">
        <v>5.030750464882202E-2</v>
      </c>
      <c r="N158" s="56">
        <v>2.9494685758388005E-2</v>
      </c>
      <c r="O158" s="56">
        <v>5.6927592046957298E-2</v>
      </c>
      <c r="P158" s="56">
        <v>4.3677670797124306E-2</v>
      </c>
      <c r="Q158" s="56">
        <v>1.4235306271347316E-2</v>
      </c>
      <c r="R158" s="56">
        <v>3.2105531089100796E-2</v>
      </c>
      <c r="S158" s="56">
        <v>3.7589767010331523E-2</v>
      </c>
      <c r="T158" s="56">
        <v>3.4577840611695394E-2</v>
      </c>
      <c r="U158" s="56">
        <v>3.7064764003096821E-2</v>
      </c>
      <c r="V158" s="56">
        <v>3.3197196400425811E-3</v>
      </c>
      <c r="W158" s="56">
        <v>3.2223147800977577E-2</v>
      </c>
      <c r="X158" s="56">
        <v>2.6397699845689192E-2</v>
      </c>
      <c r="Y158" s="56">
        <v>3.2323683591385287E-2</v>
      </c>
      <c r="AA158" s="56">
        <v>1.9832795695453126E-2</v>
      </c>
      <c r="AB158" s="57"/>
      <c r="AD158" s="56">
        <v>3.2048119804568932E-2</v>
      </c>
      <c r="AE158" s="57"/>
    </row>
    <row r="159" spans="1:31" ht="6.95" customHeight="1" x14ac:dyDescent="0.2">
      <c r="C159" s="4"/>
      <c r="D159" s="4"/>
      <c r="F159" s="96"/>
      <c r="H159" s="16"/>
      <c r="I159" s="16"/>
      <c r="J159" s="16"/>
      <c r="K159" s="85"/>
      <c r="L159" s="85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AA159" s="16"/>
      <c r="AB159" s="20"/>
      <c r="AD159" s="16"/>
      <c r="AE159" s="20"/>
    </row>
    <row r="160" spans="1:31" ht="18" customHeight="1" x14ac:dyDescent="0.2">
      <c r="A160" s="30" t="s">
        <v>89</v>
      </c>
      <c r="B160" s="30" t="s">
        <v>18</v>
      </c>
      <c r="C160" s="4">
        <v>0.17666666666666667</v>
      </c>
      <c r="D160" s="4">
        <v>-0.24</v>
      </c>
      <c r="F160" s="106" t="s">
        <v>187</v>
      </c>
      <c r="H160" s="61">
        <v>-1.006</v>
      </c>
      <c r="I160" s="61">
        <v>-0.98799999999999999</v>
      </c>
      <c r="J160" s="61">
        <v>-0.98799999999999999</v>
      </c>
      <c r="K160" s="86">
        <v>-3</v>
      </c>
      <c r="L160" s="86">
        <v>-2</v>
      </c>
      <c r="M160" s="61">
        <v>-4.9000000000000002E-2</v>
      </c>
      <c r="N160" s="61">
        <v>-8.3000000000000004E-2</v>
      </c>
      <c r="O160" s="61">
        <v>-8.3999999999999991E-2</v>
      </c>
      <c r="P160" s="61">
        <v>-7.4999999999999983E-2</v>
      </c>
      <c r="Q160" s="61">
        <v>-0.44400000000000001</v>
      </c>
      <c r="R160" s="61">
        <v>-0.26999999999999991</v>
      </c>
      <c r="S160" s="61">
        <v>-3.6000000000000032E-2</v>
      </c>
      <c r="T160" s="61">
        <v>-0.127</v>
      </c>
      <c r="U160" s="61">
        <v>-0.37400000000000011</v>
      </c>
      <c r="V160" s="61">
        <v>-0.21199999999999997</v>
      </c>
      <c r="W160" s="61">
        <v>-0.72100000000000009</v>
      </c>
      <c r="X160" s="61">
        <v>0</v>
      </c>
      <c r="Y160" s="61">
        <v>-2.4750000000000001</v>
      </c>
      <c r="AA160" s="61">
        <v>-3</v>
      </c>
      <c r="AB160" s="60">
        <v>0.53</v>
      </c>
      <c r="AD160" s="61">
        <v>-2</v>
      </c>
      <c r="AE160" s="60">
        <v>-0.48</v>
      </c>
    </row>
    <row r="161" spans="1:31" ht="18" customHeight="1" x14ac:dyDescent="0.2">
      <c r="A161" s="30" t="s">
        <v>75</v>
      </c>
      <c r="B161" s="30" t="s">
        <v>18</v>
      </c>
      <c r="C161" s="4">
        <v>0.62</v>
      </c>
      <c r="D161" s="4">
        <v>0.22272727272727272</v>
      </c>
      <c r="F161" s="106" t="s">
        <v>94</v>
      </c>
      <c r="H161" s="61">
        <v>-4.3490000000000002</v>
      </c>
      <c r="I161" s="61">
        <v>-4.532</v>
      </c>
      <c r="J161" s="61">
        <v>-4.532</v>
      </c>
      <c r="K161" s="86">
        <v>-9</v>
      </c>
      <c r="L161" s="86">
        <v>-4.4000000000000004</v>
      </c>
      <c r="M161" s="61">
        <v>-0.69199999999999995</v>
      </c>
      <c r="N161" s="61">
        <v>-9.9000000000000088E-2</v>
      </c>
      <c r="O161" s="61">
        <v>-1.0369999999999999</v>
      </c>
      <c r="P161" s="61">
        <v>-0.58899999999999997</v>
      </c>
      <c r="Q161" s="61">
        <v>9.4999999999999751E-2</v>
      </c>
      <c r="R161" s="61">
        <v>0.37000000000000011</v>
      </c>
      <c r="S161" s="61">
        <v>-0.84200000000000008</v>
      </c>
      <c r="T161" s="61">
        <v>-0.31800000000000006</v>
      </c>
      <c r="U161" s="61">
        <v>-0.19799999999999995</v>
      </c>
      <c r="V161" s="61">
        <v>9.9000000000000199E-2</v>
      </c>
      <c r="W161" s="61">
        <v>-0.11000000000000032</v>
      </c>
      <c r="X161" s="61">
        <v>-9.8999999999999755E-2</v>
      </c>
      <c r="Y161" s="61">
        <v>-3.42</v>
      </c>
      <c r="AA161" s="61">
        <v>-9</v>
      </c>
      <c r="AB161" s="60">
        <v>5.58</v>
      </c>
      <c r="AD161" s="61">
        <v>-4.4000000000000004</v>
      </c>
      <c r="AE161" s="60">
        <v>0.98</v>
      </c>
    </row>
    <row r="162" spans="1:31" ht="18" customHeight="1" x14ac:dyDescent="0.2">
      <c r="A162" s="30" t="s">
        <v>91</v>
      </c>
      <c r="B162" s="30" t="s">
        <v>18</v>
      </c>
      <c r="C162" s="4">
        <v>0.69799999999999995</v>
      </c>
      <c r="D162" s="4">
        <v>0.19619771863117871</v>
      </c>
      <c r="F162" s="106" t="s">
        <v>96</v>
      </c>
      <c r="H162" s="61">
        <v>-20.013999999999999</v>
      </c>
      <c r="I162" s="61">
        <v>-27.664000000000001</v>
      </c>
      <c r="J162" s="61">
        <v>-27.664000000000001</v>
      </c>
      <c r="K162" s="86">
        <v>-35</v>
      </c>
      <c r="L162" s="86">
        <v>-13.15</v>
      </c>
      <c r="M162" s="61">
        <v>-1.288</v>
      </c>
      <c r="N162" s="61">
        <v>-1.3339999999999999</v>
      </c>
      <c r="O162" s="61">
        <v>-1.1390000000000002</v>
      </c>
      <c r="P162" s="61">
        <v>-0.23099999999999987</v>
      </c>
      <c r="Q162" s="61">
        <v>-0.90700000000000003</v>
      </c>
      <c r="R162" s="61">
        <v>-0.63600000000000012</v>
      </c>
      <c r="S162" s="61">
        <v>-1.883</v>
      </c>
      <c r="T162" s="61">
        <v>0.77800000000000047</v>
      </c>
      <c r="U162" s="61">
        <v>-1.1880000000000006</v>
      </c>
      <c r="V162" s="61">
        <v>-1.3329999999999993</v>
      </c>
      <c r="W162" s="61">
        <v>-0.64700000000000024</v>
      </c>
      <c r="X162" s="61">
        <v>-0.76500000000000057</v>
      </c>
      <c r="Y162" s="61">
        <v>-10.573</v>
      </c>
      <c r="AA162" s="61">
        <v>-35</v>
      </c>
      <c r="AB162" s="60">
        <v>24.43</v>
      </c>
      <c r="AD162" s="61">
        <v>-13.15</v>
      </c>
      <c r="AE162" s="60">
        <v>2.58</v>
      </c>
    </row>
    <row r="163" spans="1:31" ht="18" customHeight="1" x14ac:dyDescent="0.2">
      <c r="A163" s="30" t="s">
        <v>74</v>
      </c>
      <c r="B163" s="30" t="s">
        <v>18</v>
      </c>
      <c r="C163" s="4">
        <v>0.1</v>
      </c>
      <c r="D163" s="4">
        <v>0.1</v>
      </c>
      <c r="F163" s="106" t="s">
        <v>97</v>
      </c>
      <c r="H163" s="61">
        <v>-10.455</v>
      </c>
      <c r="I163" s="61">
        <v>-10.615</v>
      </c>
      <c r="J163" s="61">
        <v>-10.615</v>
      </c>
      <c r="K163" s="86">
        <v>-11</v>
      </c>
      <c r="L163" s="86">
        <v>-11</v>
      </c>
      <c r="M163" s="61">
        <v>-0.82499999999999996</v>
      </c>
      <c r="N163" s="61">
        <v>-0.84400000000000008</v>
      </c>
      <c r="O163" s="61">
        <v>-0.84799999999999986</v>
      </c>
      <c r="P163" s="61">
        <v>-0.83300000000000018</v>
      </c>
      <c r="Q163" s="61">
        <v>-0.79400000000000004</v>
      </c>
      <c r="R163" s="61">
        <v>-0.83699999999999974</v>
      </c>
      <c r="S163" s="61">
        <v>-0.91900000000000048</v>
      </c>
      <c r="T163" s="61">
        <v>-0.86899999999999977</v>
      </c>
      <c r="U163" s="61">
        <v>-1.0670000000000002</v>
      </c>
      <c r="V163" s="61">
        <v>-0.8669999999999991</v>
      </c>
      <c r="W163" s="61">
        <v>-0.68400000000000105</v>
      </c>
      <c r="X163" s="61">
        <v>-0.51199999999999868</v>
      </c>
      <c r="Y163" s="61">
        <v>-9.8989999999999991</v>
      </c>
      <c r="AA163" s="61">
        <v>-11</v>
      </c>
      <c r="AB163" s="60">
        <v>1.1000000000000001</v>
      </c>
      <c r="AD163" s="61">
        <v>-11</v>
      </c>
      <c r="AE163" s="60">
        <v>1.1000000000000001</v>
      </c>
    </row>
    <row r="164" spans="1:31" ht="18" customHeight="1" x14ac:dyDescent="0.2">
      <c r="A164" s="30" t="s">
        <v>92</v>
      </c>
      <c r="B164" s="30" t="s">
        <v>18</v>
      </c>
      <c r="C164" s="4">
        <v>0.64138765631302941</v>
      </c>
      <c r="D164" s="4">
        <v>0.69121222646752345</v>
      </c>
      <c r="F164" s="106" t="s">
        <v>98</v>
      </c>
      <c r="H164" s="61">
        <v>-1.421</v>
      </c>
      <c r="I164" s="61">
        <v>-0.88800000000000001</v>
      </c>
      <c r="J164" s="61">
        <v>-0.88800000000000001</v>
      </c>
      <c r="K164" s="86">
        <v>-2.4790000000000001</v>
      </c>
      <c r="L164" s="86">
        <v>-2.879</v>
      </c>
      <c r="M164" s="61">
        <v>-7.3999999999999996E-2</v>
      </c>
      <c r="N164" s="61">
        <v>-6.8999999999999992E-2</v>
      </c>
      <c r="O164" s="61">
        <v>-7.9000000000000015E-2</v>
      </c>
      <c r="P164" s="61">
        <v>-7.3999999999999982E-2</v>
      </c>
      <c r="Q164" s="61">
        <v>-7.400000000000001E-2</v>
      </c>
      <c r="R164" s="61">
        <v>-7.400000000000001E-2</v>
      </c>
      <c r="S164" s="61">
        <v>-7.400000000000001E-2</v>
      </c>
      <c r="T164" s="61">
        <v>-7.3999999999999955E-2</v>
      </c>
      <c r="U164" s="61">
        <v>-7.4000000000000066E-2</v>
      </c>
      <c r="V164" s="61">
        <v>-7.3999999999999955E-2</v>
      </c>
      <c r="W164" s="61">
        <v>-7.3999999999999955E-2</v>
      </c>
      <c r="X164" s="61">
        <v>-7.4000000000000066E-2</v>
      </c>
      <c r="Y164" s="61">
        <v>-0.88800000000000001</v>
      </c>
      <c r="AA164" s="61">
        <v>-2.4790000000000001</v>
      </c>
      <c r="AB164" s="60">
        <v>1.59</v>
      </c>
      <c r="AD164" s="61">
        <v>-2.879</v>
      </c>
      <c r="AE164" s="60">
        <v>1.99</v>
      </c>
    </row>
    <row r="165" spans="1:31" ht="18" customHeight="1" x14ac:dyDescent="0.2">
      <c r="A165" s="30" t="s">
        <v>125</v>
      </c>
      <c r="B165" s="30" t="s">
        <v>18</v>
      </c>
      <c r="C165" s="4">
        <v>1</v>
      </c>
      <c r="D165" s="4">
        <v>0</v>
      </c>
      <c r="F165" s="106" t="s">
        <v>126</v>
      </c>
      <c r="H165" s="61">
        <v>0</v>
      </c>
      <c r="I165" s="61">
        <v>-0.9</v>
      </c>
      <c r="J165" s="61">
        <v>-0.9</v>
      </c>
      <c r="K165" s="86">
        <v>-1.5</v>
      </c>
      <c r="L165" s="86">
        <v>0</v>
      </c>
      <c r="M165" s="61">
        <v>0</v>
      </c>
      <c r="N165" s="61">
        <v>0</v>
      </c>
      <c r="O165" s="61">
        <v>0</v>
      </c>
      <c r="P165" s="61">
        <v>0</v>
      </c>
      <c r="Q165" s="61">
        <v>0</v>
      </c>
      <c r="R165" s="61">
        <v>0</v>
      </c>
      <c r="S165" s="61">
        <v>0</v>
      </c>
      <c r="T165" s="61">
        <v>0</v>
      </c>
      <c r="U165" s="61">
        <v>0</v>
      </c>
      <c r="V165" s="61">
        <v>0</v>
      </c>
      <c r="W165" s="61">
        <v>0</v>
      </c>
      <c r="X165" s="61">
        <v>0</v>
      </c>
      <c r="Y165" s="61">
        <v>0</v>
      </c>
      <c r="AA165" s="61">
        <v>-1.5</v>
      </c>
      <c r="AB165" s="60">
        <v>1.5</v>
      </c>
      <c r="AD165" s="61">
        <v>0</v>
      </c>
      <c r="AE165" s="60">
        <v>0</v>
      </c>
    </row>
    <row r="166" spans="1:31" ht="18" hidden="1" customHeight="1" outlineLevel="1" x14ac:dyDescent="0.2">
      <c r="A166" s="30" t="s">
        <v>73</v>
      </c>
      <c r="B166" s="30" t="s">
        <v>18</v>
      </c>
      <c r="C166" s="4">
        <v>0</v>
      </c>
      <c r="D166" s="4">
        <v>0</v>
      </c>
      <c r="F166" s="38" t="s">
        <v>72</v>
      </c>
      <c r="G166" s="34"/>
      <c r="H166" s="66">
        <v>0.35099999999999998</v>
      </c>
      <c r="I166" s="66">
        <v>0</v>
      </c>
      <c r="J166" s="66">
        <v>0</v>
      </c>
      <c r="K166" s="86">
        <v>0</v>
      </c>
      <c r="L166" s="8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34"/>
      <c r="AA166" s="66">
        <v>0</v>
      </c>
      <c r="AB166" s="60">
        <v>0</v>
      </c>
      <c r="AC166" s="34"/>
      <c r="AD166" s="66">
        <v>0</v>
      </c>
      <c r="AE166" s="60">
        <v>0</v>
      </c>
    </row>
    <row r="167" spans="1:31" ht="18" hidden="1" customHeight="1" outlineLevel="1" x14ac:dyDescent="0.2">
      <c r="A167" s="30" t="s">
        <v>129</v>
      </c>
      <c r="B167" s="30" t="s">
        <v>18</v>
      </c>
      <c r="C167" s="4">
        <v>0</v>
      </c>
      <c r="D167" s="4">
        <v>0</v>
      </c>
      <c r="F167" s="38" t="s">
        <v>190</v>
      </c>
      <c r="G167" s="34"/>
      <c r="H167" s="66">
        <v>0</v>
      </c>
      <c r="I167" s="66">
        <v>0</v>
      </c>
      <c r="J167" s="66">
        <v>0</v>
      </c>
      <c r="K167" s="86">
        <v>0</v>
      </c>
      <c r="L167" s="8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34"/>
      <c r="AA167" s="66">
        <v>0</v>
      </c>
      <c r="AB167" s="60">
        <v>0</v>
      </c>
      <c r="AC167" s="34"/>
      <c r="AD167" s="66">
        <v>0</v>
      </c>
      <c r="AE167" s="60">
        <v>0</v>
      </c>
    </row>
    <row r="168" spans="1:31" ht="18" hidden="1" customHeight="1" outlineLevel="1" x14ac:dyDescent="0.2">
      <c r="A168" s="30" t="s">
        <v>172</v>
      </c>
      <c r="B168" s="30" t="s">
        <v>18</v>
      </c>
      <c r="C168" s="4">
        <v>0</v>
      </c>
      <c r="D168" s="4">
        <v>0</v>
      </c>
      <c r="F168" s="38" t="s">
        <v>173</v>
      </c>
      <c r="G168" s="34"/>
      <c r="H168" s="66">
        <v>0</v>
      </c>
      <c r="I168" s="66">
        <v>0</v>
      </c>
      <c r="J168" s="66">
        <v>0</v>
      </c>
      <c r="K168" s="86">
        <v>0</v>
      </c>
      <c r="L168" s="86">
        <v>0</v>
      </c>
      <c r="M168" s="66">
        <v>0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34"/>
      <c r="AA168" s="66">
        <v>0</v>
      </c>
      <c r="AB168" s="60">
        <v>0</v>
      </c>
      <c r="AC168" s="34"/>
      <c r="AD168" s="66">
        <v>0</v>
      </c>
      <c r="AE168" s="60">
        <v>0</v>
      </c>
    </row>
    <row r="169" spans="1:31" ht="18" hidden="1" customHeight="1" outlineLevel="1" x14ac:dyDescent="0.2">
      <c r="A169" s="30" t="s">
        <v>88</v>
      </c>
      <c r="B169" s="30" t="s">
        <v>18</v>
      </c>
      <c r="C169" s="4">
        <v>0</v>
      </c>
      <c r="D169" s="4">
        <v>0</v>
      </c>
      <c r="F169" s="38" t="s">
        <v>93</v>
      </c>
      <c r="G169" s="34"/>
      <c r="H169" s="66">
        <v>0</v>
      </c>
      <c r="I169" s="66">
        <v>0</v>
      </c>
      <c r="J169" s="66">
        <v>0</v>
      </c>
      <c r="K169" s="86">
        <v>0</v>
      </c>
      <c r="L169" s="8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34"/>
      <c r="AA169" s="66">
        <v>0</v>
      </c>
      <c r="AB169" s="60">
        <v>0</v>
      </c>
      <c r="AC169" s="34"/>
      <c r="AD169" s="66">
        <v>0</v>
      </c>
      <c r="AE169" s="60">
        <v>0</v>
      </c>
    </row>
    <row r="170" spans="1:31" ht="18" hidden="1" customHeight="1" outlineLevel="1" x14ac:dyDescent="0.2">
      <c r="A170" s="30" t="s">
        <v>174</v>
      </c>
      <c r="B170" s="30" t="s">
        <v>18</v>
      </c>
      <c r="C170" s="4">
        <v>0</v>
      </c>
      <c r="D170" s="4">
        <v>0</v>
      </c>
      <c r="F170" s="38" t="s">
        <v>175</v>
      </c>
      <c r="G170" s="34"/>
      <c r="H170" s="66">
        <v>0</v>
      </c>
      <c r="I170" s="66">
        <v>0</v>
      </c>
      <c r="J170" s="66">
        <v>0</v>
      </c>
      <c r="K170" s="86">
        <v>0</v>
      </c>
      <c r="L170" s="8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34"/>
      <c r="AA170" s="66">
        <v>0</v>
      </c>
      <c r="AB170" s="60">
        <v>0</v>
      </c>
      <c r="AC170" s="34"/>
      <c r="AD170" s="66">
        <v>0</v>
      </c>
      <c r="AE170" s="60">
        <v>0</v>
      </c>
    </row>
    <row r="171" spans="1:31" ht="18" hidden="1" customHeight="1" outlineLevel="1" x14ac:dyDescent="0.2">
      <c r="A171" s="30" t="s">
        <v>130</v>
      </c>
      <c r="B171" s="30" t="s">
        <v>18</v>
      </c>
      <c r="C171" s="4">
        <v>0</v>
      </c>
      <c r="D171" s="4">
        <v>0</v>
      </c>
      <c r="F171" s="38" t="s">
        <v>176</v>
      </c>
      <c r="G171" s="34"/>
      <c r="H171" s="66">
        <v>0</v>
      </c>
      <c r="I171" s="66">
        <v>0</v>
      </c>
      <c r="J171" s="66">
        <v>0</v>
      </c>
      <c r="K171" s="86">
        <v>0</v>
      </c>
      <c r="L171" s="8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34"/>
      <c r="AA171" s="66">
        <v>0</v>
      </c>
      <c r="AB171" s="60">
        <v>0</v>
      </c>
      <c r="AC171" s="34"/>
      <c r="AD171" s="66">
        <v>0</v>
      </c>
      <c r="AE171" s="60">
        <v>0</v>
      </c>
    </row>
    <row r="172" spans="1:31" ht="18" hidden="1" customHeight="1" outlineLevel="1" x14ac:dyDescent="0.2">
      <c r="A172" s="30" t="s">
        <v>177</v>
      </c>
      <c r="B172" s="30" t="s">
        <v>18</v>
      </c>
      <c r="C172" s="4">
        <v>0</v>
      </c>
      <c r="D172" s="4">
        <v>0</v>
      </c>
      <c r="F172" s="38" t="s">
        <v>178</v>
      </c>
      <c r="G172" s="34"/>
      <c r="H172" s="66">
        <v>0</v>
      </c>
      <c r="I172" s="66">
        <v>0</v>
      </c>
      <c r="J172" s="66">
        <v>0</v>
      </c>
      <c r="K172" s="86">
        <v>0</v>
      </c>
      <c r="L172" s="8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34"/>
      <c r="AA172" s="66">
        <v>0</v>
      </c>
      <c r="AB172" s="60">
        <v>0</v>
      </c>
      <c r="AC172" s="34"/>
      <c r="AD172" s="66">
        <v>0</v>
      </c>
      <c r="AE172" s="60">
        <v>0</v>
      </c>
    </row>
    <row r="173" spans="1:31" ht="18" hidden="1" customHeight="1" outlineLevel="1" x14ac:dyDescent="0.2">
      <c r="A173" s="30" t="s">
        <v>179</v>
      </c>
      <c r="B173" s="30" t="s">
        <v>18</v>
      </c>
      <c r="C173" s="4">
        <v>0</v>
      </c>
      <c r="D173" s="4">
        <v>0</v>
      </c>
      <c r="F173" s="38" t="s">
        <v>180</v>
      </c>
      <c r="G173" s="34"/>
      <c r="H173" s="66">
        <v>0</v>
      </c>
      <c r="I173" s="66">
        <v>0</v>
      </c>
      <c r="J173" s="66">
        <v>0</v>
      </c>
      <c r="K173" s="86">
        <v>0</v>
      </c>
      <c r="L173" s="8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34"/>
      <c r="AA173" s="66">
        <v>0</v>
      </c>
      <c r="AB173" s="60">
        <v>0</v>
      </c>
      <c r="AC173" s="34"/>
      <c r="AD173" s="66">
        <v>0</v>
      </c>
      <c r="AE173" s="60">
        <v>0</v>
      </c>
    </row>
    <row r="174" spans="1:31" ht="18" hidden="1" customHeight="1" outlineLevel="1" x14ac:dyDescent="0.2">
      <c r="A174" s="30" t="s">
        <v>78</v>
      </c>
      <c r="B174" s="30" t="s">
        <v>18</v>
      </c>
      <c r="C174" s="4">
        <v>0</v>
      </c>
      <c r="D174" s="4">
        <v>0</v>
      </c>
      <c r="F174" s="38" t="s">
        <v>77</v>
      </c>
      <c r="G174" s="34"/>
      <c r="H174" s="66">
        <v>0</v>
      </c>
      <c r="I174" s="66">
        <v>0</v>
      </c>
      <c r="J174" s="66">
        <v>0</v>
      </c>
      <c r="K174" s="86">
        <v>0</v>
      </c>
      <c r="L174" s="8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34"/>
      <c r="AA174" s="66">
        <v>0</v>
      </c>
      <c r="AB174" s="60">
        <v>0</v>
      </c>
      <c r="AC174" s="34"/>
      <c r="AD174" s="66">
        <v>0</v>
      </c>
      <c r="AE174" s="60">
        <v>0</v>
      </c>
    </row>
    <row r="175" spans="1:31" ht="18" hidden="1" customHeight="1" outlineLevel="1" x14ac:dyDescent="0.2">
      <c r="A175" s="30" t="s">
        <v>193</v>
      </c>
      <c r="B175" s="30" t="s">
        <v>18</v>
      </c>
      <c r="C175" s="4">
        <v>0</v>
      </c>
      <c r="D175" s="4">
        <v>0</v>
      </c>
      <c r="F175" s="38" t="s">
        <v>268</v>
      </c>
      <c r="G175" s="34"/>
      <c r="H175" s="66">
        <v>0</v>
      </c>
      <c r="I175" s="66">
        <v>0</v>
      </c>
      <c r="J175" s="66">
        <v>0</v>
      </c>
      <c r="K175" s="86">
        <v>0</v>
      </c>
      <c r="L175" s="8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34"/>
      <c r="AA175" s="66">
        <v>0</v>
      </c>
      <c r="AB175" s="60">
        <v>0</v>
      </c>
      <c r="AC175" s="34"/>
      <c r="AD175" s="66">
        <v>0</v>
      </c>
      <c r="AE175" s="60">
        <v>0</v>
      </c>
    </row>
    <row r="176" spans="1:31" ht="18" hidden="1" customHeight="1" outlineLevel="1" x14ac:dyDescent="0.2">
      <c r="A176" s="30" t="s">
        <v>181</v>
      </c>
      <c r="B176" s="30" t="s">
        <v>18</v>
      </c>
      <c r="C176" s="4">
        <v>0</v>
      </c>
      <c r="D176" s="4">
        <v>0</v>
      </c>
      <c r="F176" s="38" t="s">
        <v>182</v>
      </c>
      <c r="G176" s="34"/>
      <c r="H176" s="66">
        <v>0</v>
      </c>
      <c r="I176" s="66">
        <v>0</v>
      </c>
      <c r="J176" s="66">
        <v>0</v>
      </c>
      <c r="K176" s="86">
        <v>0</v>
      </c>
      <c r="L176" s="8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34"/>
      <c r="AA176" s="66">
        <v>0</v>
      </c>
      <c r="AB176" s="60">
        <v>0</v>
      </c>
      <c r="AC176" s="34"/>
      <c r="AD176" s="66">
        <v>0</v>
      </c>
      <c r="AE176" s="60">
        <v>0</v>
      </c>
    </row>
    <row r="177" spans="1:31" ht="18" hidden="1" customHeight="1" outlineLevel="1" x14ac:dyDescent="0.2">
      <c r="A177" s="30" t="s">
        <v>90</v>
      </c>
      <c r="B177" s="30" t="s">
        <v>18</v>
      </c>
      <c r="C177" s="4">
        <v>0</v>
      </c>
      <c r="D177" s="4">
        <v>0</v>
      </c>
      <c r="F177" s="38" t="s">
        <v>95</v>
      </c>
      <c r="G177" s="34"/>
      <c r="H177" s="66">
        <v>0</v>
      </c>
      <c r="I177" s="66">
        <v>-2.0710000000000002</v>
      </c>
      <c r="J177" s="66">
        <v>-2.0710000000000002</v>
      </c>
      <c r="K177" s="86">
        <v>0</v>
      </c>
      <c r="L177" s="86">
        <v>0</v>
      </c>
      <c r="M177" s="66">
        <v>0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34"/>
      <c r="AA177" s="66">
        <v>0</v>
      </c>
      <c r="AB177" s="60">
        <v>0</v>
      </c>
      <c r="AC177" s="34"/>
      <c r="AD177" s="66">
        <v>0</v>
      </c>
      <c r="AE177" s="60">
        <v>0</v>
      </c>
    </row>
    <row r="178" spans="1:31" ht="18" hidden="1" customHeight="1" outlineLevel="1" x14ac:dyDescent="0.2">
      <c r="A178" s="30" t="s">
        <v>127</v>
      </c>
      <c r="B178" s="30" t="s">
        <v>18</v>
      </c>
      <c r="C178" s="4">
        <v>0</v>
      </c>
      <c r="D178" s="4">
        <v>0</v>
      </c>
      <c r="F178" s="38" t="s">
        <v>128</v>
      </c>
      <c r="G178" s="34"/>
      <c r="H178" s="66">
        <v>0</v>
      </c>
      <c r="I178" s="66">
        <v>-0.91600000000000004</v>
      </c>
      <c r="J178" s="66">
        <v>-0.91600000000000004</v>
      </c>
      <c r="K178" s="86">
        <v>0</v>
      </c>
      <c r="L178" s="86">
        <v>0</v>
      </c>
      <c r="M178" s="66">
        <v>0</v>
      </c>
      <c r="N178" s="66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34"/>
      <c r="AA178" s="66">
        <v>0</v>
      </c>
      <c r="AB178" s="60">
        <v>0</v>
      </c>
      <c r="AC178" s="34"/>
      <c r="AD178" s="66">
        <v>0</v>
      </c>
      <c r="AE178" s="60">
        <v>0</v>
      </c>
    </row>
    <row r="179" spans="1:31" s="209" customFormat="1" ht="18" hidden="1" customHeight="1" outlineLevel="1" x14ac:dyDescent="0.2">
      <c r="A179" s="233" t="s">
        <v>261</v>
      </c>
      <c r="B179" s="210" t="s">
        <v>18</v>
      </c>
      <c r="C179" s="208">
        <v>0</v>
      </c>
      <c r="D179" s="208">
        <v>0</v>
      </c>
      <c r="F179" s="224" t="s">
        <v>262</v>
      </c>
      <c r="G179" s="211"/>
      <c r="H179" s="215">
        <v>0</v>
      </c>
      <c r="I179" s="215">
        <v>0</v>
      </c>
      <c r="J179" s="215">
        <v>0</v>
      </c>
      <c r="K179" s="216">
        <v>0</v>
      </c>
      <c r="L179" s="216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  <c r="R179" s="215">
        <v>0</v>
      </c>
      <c r="S179" s="215">
        <v>0</v>
      </c>
      <c r="T179" s="215">
        <v>0</v>
      </c>
      <c r="U179" s="215">
        <v>0</v>
      </c>
      <c r="V179" s="215">
        <v>0</v>
      </c>
      <c r="W179" s="215">
        <v>0</v>
      </c>
      <c r="X179" s="215">
        <v>0</v>
      </c>
      <c r="Y179" s="215">
        <v>0</v>
      </c>
      <c r="Z179" s="211"/>
      <c r="AA179" s="215">
        <v>0</v>
      </c>
      <c r="AB179" s="214">
        <v>0</v>
      </c>
      <c r="AC179" s="211"/>
      <c r="AD179" s="215">
        <v>0</v>
      </c>
      <c r="AE179" s="214">
        <v>0</v>
      </c>
    </row>
    <row r="180" spans="1:31" ht="18" hidden="1" customHeight="1" outlineLevel="1" x14ac:dyDescent="0.2">
      <c r="A180" s="30" t="s">
        <v>199</v>
      </c>
      <c r="B180" s="30" t="s">
        <v>18</v>
      </c>
      <c r="C180" s="4">
        <v>0</v>
      </c>
      <c r="D180" s="4">
        <v>0</v>
      </c>
      <c r="F180" s="38" t="s">
        <v>184</v>
      </c>
      <c r="G180" s="34"/>
      <c r="H180" s="66">
        <v>0</v>
      </c>
      <c r="I180" s="66">
        <v>0</v>
      </c>
      <c r="J180" s="66">
        <v>0</v>
      </c>
      <c r="K180" s="86">
        <v>0</v>
      </c>
      <c r="L180" s="8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34"/>
      <c r="AA180" s="66">
        <v>0</v>
      </c>
      <c r="AB180" s="60">
        <v>0</v>
      </c>
      <c r="AC180" s="34"/>
      <c r="AD180" s="66">
        <v>0</v>
      </c>
      <c r="AE180" s="60">
        <v>0</v>
      </c>
    </row>
    <row r="181" spans="1:31" ht="18" hidden="1" customHeight="1" outlineLevel="1" x14ac:dyDescent="0.2">
      <c r="A181" s="30" t="s">
        <v>263</v>
      </c>
      <c r="B181" s="30" t="s">
        <v>18</v>
      </c>
      <c r="C181" s="4">
        <v>0</v>
      </c>
      <c r="D181" s="4">
        <v>0</v>
      </c>
      <c r="F181" s="38" t="s">
        <v>273</v>
      </c>
      <c r="G181" s="34"/>
      <c r="H181" s="66">
        <v>0</v>
      </c>
      <c r="I181" s="66">
        <v>0</v>
      </c>
      <c r="J181" s="66">
        <v>0</v>
      </c>
      <c r="K181" s="86">
        <v>0</v>
      </c>
      <c r="L181" s="8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34"/>
      <c r="AA181" s="66">
        <v>0</v>
      </c>
      <c r="AB181" s="60">
        <v>0</v>
      </c>
      <c r="AC181" s="34"/>
      <c r="AD181" s="66">
        <v>0</v>
      </c>
      <c r="AE181" s="60">
        <v>0</v>
      </c>
    </row>
    <row r="182" spans="1:31" ht="18" hidden="1" customHeight="1" outlineLevel="1" x14ac:dyDescent="0.2">
      <c r="A182" s="30" t="s">
        <v>195</v>
      </c>
      <c r="B182" s="30" t="s">
        <v>18</v>
      </c>
      <c r="C182" s="4">
        <v>0</v>
      </c>
      <c r="D182" s="4">
        <v>0</v>
      </c>
      <c r="F182" s="38" t="s">
        <v>196</v>
      </c>
      <c r="G182" s="34"/>
      <c r="H182" s="66">
        <v>0</v>
      </c>
      <c r="I182" s="66">
        <v>0</v>
      </c>
      <c r="J182" s="66">
        <v>0</v>
      </c>
      <c r="K182" s="86">
        <v>0</v>
      </c>
      <c r="L182" s="8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34"/>
      <c r="AA182" s="66">
        <v>0</v>
      </c>
      <c r="AB182" s="60">
        <v>0</v>
      </c>
      <c r="AC182" s="34"/>
      <c r="AD182" s="66">
        <v>0</v>
      </c>
      <c r="AE182" s="60">
        <v>0</v>
      </c>
    </row>
    <row r="183" spans="1:31" ht="18" hidden="1" customHeight="1" outlineLevel="1" x14ac:dyDescent="0.2">
      <c r="A183" s="30" t="s">
        <v>197</v>
      </c>
      <c r="B183" s="30" t="s">
        <v>18</v>
      </c>
      <c r="C183" s="4">
        <v>0</v>
      </c>
      <c r="D183" s="4">
        <v>0</v>
      </c>
      <c r="F183" s="38" t="s">
        <v>267</v>
      </c>
      <c r="G183" s="34"/>
      <c r="H183" s="66">
        <v>0</v>
      </c>
      <c r="I183" s="66">
        <v>0</v>
      </c>
      <c r="J183" s="66">
        <v>0</v>
      </c>
      <c r="K183" s="86">
        <v>0</v>
      </c>
      <c r="L183" s="8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34"/>
      <c r="AA183" s="66">
        <v>0</v>
      </c>
      <c r="AB183" s="60">
        <v>0</v>
      </c>
      <c r="AC183" s="34"/>
      <c r="AD183" s="66">
        <v>0</v>
      </c>
      <c r="AE183" s="60">
        <v>0</v>
      </c>
    </row>
    <row r="184" spans="1:31" s="237" customFormat="1" ht="18" hidden="1" customHeight="1" outlineLevel="1" x14ac:dyDescent="0.2">
      <c r="A184" s="254" t="s">
        <v>445</v>
      </c>
      <c r="B184" s="238" t="s">
        <v>18</v>
      </c>
      <c r="C184" s="236">
        <v>-1.001669449081803</v>
      </c>
      <c r="D184" s="236">
        <v>0.4</v>
      </c>
      <c r="F184" s="249" t="s">
        <v>444</v>
      </c>
      <c r="G184" s="239"/>
      <c r="H184" s="241">
        <v>0</v>
      </c>
      <c r="I184" s="241">
        <v>0</v>
      </c>
      <c r="J184" s="241">
        <v>0</v>
      </c>
      <c r="K184" s="242">
        <v>0</v>
      </c>
      <c r="L184" s="242">
        <v>-1</v>
      </c>
      <c r="M184" s="241">
        <v>0</v>
      </c>
      <c r="N184" s="241">
        <v>0</v>
      </c>
      <c r="O184" s="241">
        <v>0</v>
      </c>
      <c r="P184" s="241">
        <v>0</v>
      </c>
      <c r="Q184" s="241">
        <v>0</v>
      </c>
      <c r="R184" s="241">
        <v>0</v>
      </c>
      <c r="S184" s="241">
        <v>0</v>
      </c>
      <c r="T184" s="241">
        <v>-0.59899999999999998</v>
      </c>
      <c r="U184" s="241">
        <v>0</v>
      </c>
      <c r="V184" s="241">
        <v>0</v>
      </c>
      <c r="W184" s="241">
        <v>0</v>
      </c>
      <c r="X184" s="241">
        <v>0</v>
      </c>
      <c r="Y184" s="241">
        <v>-0.59899999999999998</v>
      </c>
      <c r="Z184" s="239"/>
      <c r="AA184" s="241">
        <v>0</v>
      </c>
      <c r="AB184" s="240">
        <v>-0.6</v>
      </c>
      <c r="AC184" s="239"/>
      <c r="AD184" s="241">
        <v>-1</v>
      </c>
      <c r="AE184" s="240">
        <v>0.4</v>
      </c>
    </row>
    <row r="185" spans="1:31" ht="18" hidden="1" customHeight="1" outlineLevel="1" x14ac:dyDescent="0.2">
      <c r="A185" s="30" t="s">
        <v>257</v>
      </c>
      <c r="B185" s="30" t="s">
        <v>18</v>
      </c>
      <c r="C185" s="4">
        <v>0</v>
      </c>
      <c r="D185" s="4">
        <v>0</v>
      </c>
      <c r="F185" s="104" t="s">
        <v>260</v>
      </c>
      <c r="G185" s="36"/>
      <c r="H185" s="65">
        <v>0</v>
      </c>
      <c r="I185" s="65">
        <v>0</v>
      </c>
      <c r="J185" s="65">
        <v>0</v>
      </c>
      <c r="K185" s="90">
        <v>0</v>
      </c>
      <c r="L185" s="90">
        <v>0</v>
      </c>
      <c r="M185" s="65">
        <v>0</v>
      </c>
      <c r="N185" s="65">
        <v>0</v>
      </c>
      <c r="O185" s="65">
        <v>0</v>
      </c>
      <c r="P185" s="65">
        <v>0</v>
      </c>
      <c r="Q185" s="65">
        <v>0</v>
      </c>
      <c r="R185" s="65">
        <v>0</v>
      </c>
      <c r="S185" s="65">
        <v>0</v>
      </c>
      <c r="T185" s="65">
        <v>0</v>
      </c>
      <c r="U185" s="65">
        <v>0</v>
      </c>
      <c r="V185" s="65">
        <v>0</v>
      </c>
      <c r="W185" s="65">
        <v>0</v>
      </c>
      <c r="X185" s="65">
        <v>0</v>
      </c>
      <c r="Y185" s="65">
        <v>0</v>
      </c>
      <c r="Z185" s="36"/>
      <c r="AA185" s="65">
        <v>0</v>
      </c>
      <c r="AB185" s="60">
        <v>0</v>
      </c>
      <c r="AC185" s="36"/>
      <c r="AD185" s="65">
        <v>0</v>
      </c>
      <c r="AE185" s="60">
        <v>0</v>
      </c>
    </row>
    <row r="186" spans="1:31" ht="18" hidden="1" customHeight="1" outlineLevel="1" x14ac:dyDescent="0.2">
      <c r="A186" s="30" t="s">
        <v>200</v>
      </c>
      <c r="B186" s="30" t="s">
        <v>18</v>
      </c>
      <c r="C186" s="4">
        <v>0</v>
      </c>
      <c r="D186" s="4">
        <v>0</v>
      </c>
      <c r="F186" s="104" t="s">
        <v>183</v>
      </c>
      <c r="G186" s="36"/>
      <c r="H186" s="65">
        <v>0</v>
      </c>
      <c r="I186" s="65">
        <v>0</v>
      </c>
      <c r="J186" s="65">
        <v>0</v>
      </c>
      <c r="K186" s="90">
        <v>0</v>
      </c>
      <c r="L186" s="90">
        <v>0</v>
      </c>
      <c r="M186" s="65">
        <v>0</v>
      </c>
      <c r="N186" s="65">
        <v>0</v>
      </c>
      <c r="O186" s="65">
        <v>0</v>
      </c>
      <c r="P186" s="65">
        <v>0</v>
      </c>
      <c r="Q186" s="65">
        <v>0</v>
      </c>
      <c r="R186" s="65">
        <v>0</v>
      </c>
      <c r="S186" s="65">
        <v>0</v>
      </c>
      <c r="T186" s="65">
        <v>0</v>
      </c>
      <c r="U186" s="65">
        <v>0</v>
      </c>
      <c r="V186" s="65">
        <v>0</v>
      </c>
      <c r="W186" s="65">
        <v>0</v>
      </c>
      <c r="X186" s="65">
        <v>0</v>
      </c>
      <c r="Y186" s="65">
        <v>0</v>
      </c>
      <c r="Z186" s="36"/>
      <c r="AA186" s="65">
        <v>0</v>
      </c>
      <c r="AB186" s="60">
        <v>0</v>
      </c>
      <c r="AC186" s="36"/>
      <c r="AD186" s="65">
        <v>0</v>
      </c>
      <c r="AE186" s="60">
        <v>0</v>
      </c>
    </row>
    <row r="187" spans="1:31" ht="18" hidden="1" customHeight="1" outlineLevel="1" x14ac:dyDescent="0.2">
      <c r="A187" s="30" t="s">
        <v>256</v>
      </c>
      <c r="B187" s="30" t="s">
        <v>18</v>
      </c>
      <c r="C187" s="4">
        <v>0</v>
      </c>
      <c r="D187" s="4">
        <v>0</v>
      </c>
      <c r="F187" s="104" t="s">
        <v>259</v>
      </c>
      <c r="G187" s="36"/>
      <c r="H187" s="65">
        <v>0</v>
      </c>
      <c r="I187" s="65">
        <v>0</v>
      </c>
      <c r="J187" s="65">
        <v>0</v>
      </c>
      <c r="K187" s="90">
        <v>0</v>
      </c>
      <c r="L187" s="90">
        <v>0</v>
      </c>
      <c r="M187" s="65">
        <v>0</v>
      </c>
      <c r="N187" s="65">
        <v>0</v>
      </c>
      <c r="O187" s="65">
        <v>0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36"/>
      <c r="AA187" s="65">
        <v>0</v>
      </c>
      <c r="AB187" s="60">
        <v>0</v>
      </c>
      <c r="AC187" s="36"/>
      <c r="AD187" s="65">
        <v>0</v>
      </c>
      <c r="AE187" s="60">
        <v>0</v>
      </c>
    </row>
    <row r="188" spans="1:31" ht="18" hidden="1" customHeight="1" outlineLevel="1" x14ac:dyDescent="0.2">
      <c r="A188" s="30" t="s">
        <v>185</v>
      </c>
      <c r="B188" s="30" t="s">
        <v>18</v>
      </c>
      <c r="C188" s="4">
        <v>0</v>
      </c>
      <c r="D188" s="4">
        <v>0</v>
      </c>
      <c r="F188" s="38" t="s">
        <v>186</v>
      </c>
      <c r="G188" s="34"/>
      <c r="H188" s="66">
        <v>0</v>
      </c>
      <c r="I188" s="66">
        <v>0</v>
      </c>
      <c r="J188" s="66">
        <v>0</v>
      </c>
      <c r="K188" s="86">
        <v>0</v>
      </c>
      <c r="L188" s="86">
        <v>0</v>
      </c>
      <c r="M188" s="66">
        <v>0</v>
      </c>
      <c r="N188" s="66">
        <v>0</v>
      </c>
      <c r="O188" s="66">
        <v>0</v>
      </c>
      <c r="P188" s="66">
        <v>0</v>
      </c>
      <c r="Q188" s="66">
        <v>0</v>
      </c>
      <c r="R188" s="66">
        <v>0</v>
      </c>
      <c r="S188" s="66">
        <v>0</v>
      </c>
      <c r="T188" s="66">
        <v>0</v>
      </c>
      <c r="U188" s="66">
        <v>0</v>
      </c>
      <c r="V188" s="66">
        <v>0</v>
      </c>
      <c r="W188" s="66">
        <v>0</v>
      </c>
      <c r="X188" s="66">
        <v>0</v>
      </c>
      <c r="Y188" s="66">
        <v>0</v>
      </c>
      <c r="Z188" s="34"/>
      <c r="AA188" s="66">
        <v>0</v>
      </c>
      <c r="AB188" s="60">
        <v>0</v>
      </c>
      <c r="AC188" s="34"/>
      <c r="AD188" s="66">
        <v>0</v>
      </c>
      <c r="AE188" s="60">
        <v>0</v>
      </c>
    </row>
    <row r="189" spans="1:31" ht="18" customHeight="1" collapsed="1" x14ac:dyDescent="0.2">
      <c r="A189" s="35"/>
      <c r="B189" s="35"/>
      <c r="C189" s="4">
        <v>-1.001669449081803</v>
      </c>
      <c r="D189" s="4">
        <v>0.4</v>
      </c>
      <c r="F189" s="106" t="s">
        <v>188</v>
      </c>
      <c r="H189" s="61">
        <v>0.35099999999999998</v>
      </c>
      <c r="I189" s="61">
        <v>-2.9870000000000001</v>
      </c>
      <c r="J189" s="61">
        <v>-2.9870000000000001</v>
      </c>
      <c r="K189" s="86">
        <v>0</v>
      </c>
      <c r="L189" s="86">
        <v>-1</v>
      </c>
      <c r="M189" s="61">
        <v>0</v>
      </c>
      <c r="N189" s="61">
        <v>0</v>
      </c>
      <c r="O189" s="61">
        <v>0</v>
      </c>
      <c r="P189" s="61">
        <v>0</v>
      </c>
      <c r="Q189" s="61">
        <v>0</v>
      </c>
      <c r="R189" s="61">
        <v>0</v>
      </c>
      <c r="S189" s="61">
        <v>0</v>
      </c>
      <c r="T189" s="61">
        <v>-0.59899999999999998</v>
      </c>
      <c r="U189" s="61">
        <v>0</v>
      </c>
      <c r="V189" s="61">
        <v>0</v>
      </c>
      <c r="W189" s="61">
        <v>0</v>
      </c>
      <c r="X189" s="61">
        <v>0</v>
      </c>
      <c r="Y189" s="61">
        <v>-0.59899999999999998</v>
      </c>
      <c r="AA189" s="61">
        <v>0</v>
      </c>
      <c r="AB189" s="60">
        <v>-0.6</v>
      </c>
      <c r="AD189" s="61">
        <v>-1</v>
      </c>
      <c r="AE189" s="60">
        <v>0.4</v>
      </c>
    </row>
    <row r="190" spans="1:31" ht="18" customHeight="1" x14ac:dyDescent="0.2">
      <c r="A190" s="35"/>
      <c r="B190" s="35"/>
      <c r="C190" s="4">
        <v>0.55067038835734683</v>
      </c>
      <c r="D190" s="4">
        <v>0.19111795288855324</v>
      </c>
      <c r="F190" s="95" t="s">
        <v>87</v>
      </c>
      <c r="H190" s="64">
        <v>-36.893999999999998</v>
      </c>
      <c r="I190" s="64">
        <v>-48.573999999999998</v>
      </c>
      <c r="J190" s="64">
        <v>-48.573999999999998</v>
      </c>
      <c r="K190" s="89">
        <v>-61.978999999999999</v>
      </c>
      <c r="L190" s="89">
        <v>-34.429000000000002</v>
      </c>
      <c r="M190" s="64">
        <v>-2.9279999999999999</v>
      </c>
      <c r="N190" s="64">
        <v>-2.4290000000000003</v>
      </c>
      <c r="O190" s="64">
        <v>-3.1870000000000003</v>
      </c>
      <c r="P190" s="64">
        <v>-1.802</v>
      </c>
      <c r="Q190" s="64">
        <v>-2.1240000000000001</v>
      </c>
      <c r="R190" s="64">
        <v>-1.4469999999999998</v>
      </c>
      <c r="S190" s="64">
        <v>-3.7540000000000004</v>
      </c>
      <c r="T190" s="64">
        <v>-1.2089999999999992</v>
      </c>
      <c r="U190" s="64">
        <v>-2.9010000000000007</v>
      </c>
      <c r="V190" s="64">
        <v>-2.3869999999999978</v>
      </c>
      <c r="W190" s="64">
        <v>-2.2360000000000015</v>
      </c>
      <c r="X190" s="64">
        <v>-1.4499999999999991</v>
      </c>
      <c r="Y190" s="64">
        <v>-27.853999999999999</v>
      </c>
      <c r="AA190" s="64">
        <v>-61.979000000000006</v>
      </c>
      <c r="AB190" s="60">
        <v>34.130000000000003</v>
      </c>
      <c r="AD190" s="64">
        <v>-34.429000000000002</v>
      </c>
      <c r="AE190" s="60">
        <v>6.58</v>
      </c>
    </row>
    <row r="191" spans="1:31" ht="12.95" customHeight="1" x14ac:dyDescent="0.2">
      <c r="A191" s="35"/>
      <c r="B191" s="35"/>
      <c r="C191" s="4"/>
      <c r="D191" s="4"/>
      <c r="F191" s="39" t="s">
        <v>223</v>
      </c>
      <c r="H191" s="56">
        <v>6.5316409442216913E-3</v>
      </c>
      <c r="I191" s="56">
        <v>8.0199767989636468E-3</v>
      </c>
      <c r="J191" s="56">
        <v>8.0199767989636468E-3</v>
      </c>
      <c r="K191" s="109">
        <v>9.5288127473526288E-3</v>
      </c>
      <c r="L191" s="109">
        <v>5.108026094863681E-3</v>
      </c>
      <c r="M191" s="56">
        <v>6.243922411587082E-3</v>
      </c>
      <c r="N191" s="56">
        <v>4.8192245195159749E-3</v>
      </c>
      <c r="O191" s="56">
        <v>6.1615974139464392E-3</v>
      </c>
      <c r="P191" s="56">
        <v>3.0735380653084199E-3</v>
      </c>
      <c r="Q191" s="56">
        <v>3.4284828801838846E-3</v>
      </c>
      <c r="R191" s="56">
        <v>2.4718901503633529E-3</v>
      </c>
      <c r="S191" s="56">
        <v>6.7498318835159544E-3</v>
      </c>
      <c r="T191" s="56">
        <v>2.1746051445869596E-3</v>
      </c>
      <c r="U191" s="56">
        <v>4.9470844432014677E-3</v>
      </c>
      <c r="V191" s="56">
        <v>3.7698243486116185E-3</v>
      </c>
      <c r="W191" s="56">
        <v>3.7935533345435672E-3</v>
      </c>
      <c r="X191" s="56">
        <v>2.3904986745096981E-3</v>
      </c>
      <c r="Y191" s="56">
        <v>4.0907057532176818E-3</v>
      </c>
      <c r="AA191" s="56">
        <v>9.5288127473526305E-3</v>
      </c>
      <c r="AB191" s="57"/>
      <c r="AD191" s="56">
        <v>5.108026094863681E-3</v>
      </c>
      <c r="AE191" s="57"/>
    </row>
    <row r="192" spans="1:31" ht="6.95" customHeight="1" x14ac:dyDescent="0.2">
      <c r="C192" s="4"/>
      <c r="D192" s="4"/>
      <c r="F192" s="96"/>
      <c r="H192" s="16"/>
      <c r="I192" s="16"/>
      <c r="J192" s="16"/>
      <c r="K192" s="85"/>
      <c r="L192" s="85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AA192" s="16"/>
      <c r="AB192" s="20"/>
      <c r="AD192" s="16"/>
      <c r="AE192" s="20"/>
    </row>
    <row r="193" spans="1:31" s="40" customFormat="1" ht="18" customHeight="1" x14ac:dyDescent="0.2">
      <c r="A193" s="35"/>
      <c r="B193" s="35"/>
      <c r="C193" s="4">
        <v>-2.1833276463335407E-2</v>
      </c>
      <c r="D193" s="4">
        <v>-1.098510274556491E-2</v>
      </c>
      <c r="E193" s="8"/>
      <c r="F193" s="100" t="s">
        <v>277</v>
      </c>
      <c r="G193" s="8"/>
      <c r="H193" s="62">
        <v>-3889.4639999999999</v>
      </c>
      <c r="I193" s="62">
        <v>-4121.6720000000005</v>
      </c>
      <c r="J193" s="62">
        <v>-4121.6720000000005</v>
      </c>
      <c r="K193" s="108">
        <v>-4480.7750299999998</v>
      </c>
      <c r="L193" s="108">
        <v>-4528.8606900000004</v>
      </c>
      <c r="M193" s="62">
        <v>-385.505</v>
      </c>
      <c r="N193" s="62">
        <v>-359.50199999999995</v>
      </c>
      <c r="O193" s="62">
        <v>-427.94100000000003</v>
      </c>
      <c r="P193" s="62">
        <v>-382.887</v>
      </c>
      <c r="Q193" s="62">
        <v>-306.18400000000003</v>
      </c>
      <c r="R193" s="62">
        <v>-405.37699999999995</v>
      </c>
      <c r="S193" s="62">
        <v>-350.37600000000009</v>
      </c>
      <c r="T193" s="62">
        <v>-295.77900000000011</v>
      </c>
      <c r="U193" s="62">
        <v>-412.41599999999988</v>
      </c>
      <c r="V193" s="62">
        <v>-413.82700000000017</v>
      </c>
      <c r="W193" s="62">
        <v>-415.61199999999974</v>
      </c>
      <c r="X193" s="62">
        <v>-423.20400000000024</v>
      </c>
      <c r="Y193" s="62">
        <v>-4578.6100000000006</v>
      </c>
      <c r="Z193" s="8"/>
      <c r="AA193" s="62">
        <v>-4480.7750299999998</v>
      </c>
      <c r="AB193" s="60">
        <v>-97.83</v>
      </c>
      <c r="AC193" s="8"/>
      <c r="AD193" s="62">
        <v>-4528.8606900000004</v>
      </c>
      <c r="AE193" s="60">
        <v>-49.75</v>
      </c>
    </row>
    <row r="194" spans="1:31" ht="12.95" customHeight="1" x14ac:dyDescent="0.2">
      <c r="A194" s="35"/>
      <c r="B194" s="35"/>
      <c r="C194" s="4"/>
      <c r="D194" s="4"/>
      <c r="F194" s="39" t="s">
        <v>223</v>
      </c>
      <c r="H194" s="56">
        <v>0.68858303012620692</v>
      </c>
      <c r="I194" s="56">
        <v>0.68052278611887218</v>
      </c>
      <c r="J194" s="56">
        <v>0.68052278611887218</v>
      </c>
      <c r="K194" s="109">
        <v>0.68888601338975075</v>
      </c>
      <c r="L194" s="109">
        <v>0.67192014245323239</v>
      </c>
      <c r="M194" s="56">
        <v>0.82208446355152942</v>
      </c>
      <c r="N194" s="56">
        <v>0.71326506925279187</v>
      </c>
      <c r="O194" s="56">
        <v>0.82736120455652751</v>
      </c>
      <c r="P194" s="56">
        <v>0.65306202508975864</v>
      </c>
      <c r="Q194" s="56">
        <v>0.49423098031366408</v>
      </c>
      <c r="R194" s="56">
        <v>0.69249994020998262</v>
      </c>
      <c r="S194" s="56">
        <v>0.62998910389418927</v>
      </c>
      <c r="T194" s="56">
        <v>0.53201202238278489</v>
      </c>
      <c r="U194" s="56">
        <v>0.70329430462853337</v>
      </c>
      <c r="V194" s="56">
        <v>0.65356309204562313</v>
      </c>
      <c r="W194" s="56">
        <v>0.70511909144736984</v>
      </c>
      <c r="X194" s="56">
        <v>0.69770248348082997</v>
      </c>
      <c r="Y194" s="56">
        <v>0.67242572947296664</v>
      </c>
      <c r="AA194" s="56">
        <v>0.68888601338975075</v>
      </c>
      <c r="AB194" s="57"/>
      <c r="AD194" s="56">
        <v>0.67192014245323239</v>
      </c>
      <c r="AE194" s="57"/>
    </row>
    <row r="195" spans="1:31" ht="6.95" customHeight="1" x14ac:dyDescent="0.2">
      <c r="C195" s="4"/>
      <c r="D195" s="4"/>
      <c r="F195" s="96"/>
      <c r="H195" s="16"/>
      <c r="I195" s="16"/>
      <c r="J195" s="16"/>
      <c r="K195" s="85"/>
      <c r="L195" s="85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AA195" s="16"/>
      <c r="AB195" s="20"/>
      <c r="AD195" s="16"/>
      <c r="AE195" s="20"/>
    </row>
    <row r="196" spans="1:31" ht="18" customHeight="1" x14ac:dyDescent="0.2">
      <c r="A196" s="35"/>
      <c r="B196" s="35"/>
      <c r="C196" s="4">
        <v>8.3964010020256746E-2</v>
      </c>
      <c r="D196" s="4">
        <v>1.0333763428138014E-2</v>
      </c>
      <c r="F196" s="101" t="s">
        <v>278</v>
      </c>
      <c r="H196" s="77">
        <v>1699.0419999999995</v>
      </c>
      <c r="I196" s="77">
        <v>1892.1999999999998</v>
      </c>
      <c r="J196" s="77">
        <v>1892.1999999999998</v>
      </c>
      <c r="K196" s="114">
        <v>2018.6029699999999</v>
      </c>
      <c r="L196" s="114">
        <v>2165.7163099999989</v>
      </c>
      <c r="M196" s="77">
        <v>56.869000000000028</v>
      </c>
      <c r="N196" s="77">
        <v>103.6280000000001</v>
      </c>
      <c r="O196" s="77">
        <v>117.07000000000005</v>
      </c>
      <c r="P196" s="77">
        <v>186.69499999999999</v>
      </c>
      <c r="Q196" s="77">
        <v>342.14500000000015</v>
      </c>
      <c r="R196" s="77">
        <v>209.8399999999998</v>
      </c>
      <c r="S196" s="77">
        <v>162.93399999999997</v>
      </c>
      <c r="T196" s="77">
        <v>222.30699999999968</v>
      </c>
      <c r="U196" s="77">
        <v>187.25600000000037</v>
      </c>
      <c r="V196" s="77">
        <v>240.28000000000026</v>
      </c>
      <c r="W196" s="77">
        <v>167.03999999999962</v>
      </c>
      <c r="X196" s="77">
        <v>192.03199999999998</v>
      </c>
      <c r="Y196" s="77">
        <v>2188.0959999999995</v>
      </c>
      <c r="AA196" s="77">
        <v>2018.6029699999999</v>
      </c>
      <c r="AB196" s="60">
        <v>169.49</v>
      </c>
      <c r="AD196" s="77">
        <v>2165.7163099999989</v>
      </c>
      <c r="AE196" s="60">
        <v>22.38</v>
      </c>
    </row>
    <row r="197" spans="1:31" ht="12.95" customHeight="1" x14ac:dyDescent="0.2">
      <c r="A197" s="35"/>
      <c r="B197" s="35"/>
      <c r="C197" s="4"/>
      <c r="D197" s="4"/>
      <c r="F197" s="39" t="s">
        <v>223</v>
      </c>
      <c r="H197" s="56">
        <v>0.30079504236874038</v>
      </c>
      <c r="I197" s="56">
        <v>0.31241816813519602</v>
      </c>
      <c r="J197" s="56">
        <v>0.31241816813519602</v>
      </c>
      <c r="K197" s="109">
        <v>0.3103452735987976</v>
      </c>
      <c r="L197" s="109">
        <v>0.32131445657881075</v>
      </c>
      <c r="M197" s="56">
        <v>0.12127241244007718</v>
      </c>
      <c r="N197" s="56">
        <v>0.20560172849254915</v>
      </c>
      <c r="O197" s="56">
        <v>0.22633768724528078</v>
      </c>
      <c r="P197" s="56">
        <v>0.31843184744880992</v>
      </c>
      <c r="Q197" s="56">
        <v>0.55227790726954595</v>
      </c>
      <c r="R197" s="56">
        <v>0.35846677895801349</v>
      </c>
      <c r="S197" s="56">
        <v>0.29296140333212256</v>
      </c>
      <c r="T197" s="56">
        <v>0.39985934315772775</v>
      </c>
      <c r="U197" s="56">
        <v>0.31932824698246659</v>
      </c>
      <c r="V197" s="56">
        <v>0.37947775219287871</v>
      </c>
      <c r="W197" s="56">
        <v>0.28339675715659912</v>
      </c>
      <c r="X197" s="56">
        <v>0.31658775273341144</v>
      </c>
      <c r="Y197" s="56">
        <v>0.32134906641030359</v>
      </c>
      <c r="AA197" s="56">
        <v>0.3103452735987976</v>
      </c>
      <c r="AB197" s="57"/>
      <c r="AD197" s="56">
        <v>0.32131445657881075</v>
      </c>
      <c r="AE197" s="57"/>
    </row>
    <row r="198" spans="1:31" ht="6.95" customHeight="1" x14ac:dyDescent="0.2">
      <c r="C198" s="4"/>
      <c r="D198" s="4"/>
      <c r="F198" s="96"/>
      <c r="H198" s="16"/>
      <c r="I198" s="16"/>
      <c r="J198" s="16"/>
      <c r="K198" s="85"/>
      <c r="L198" s="85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AA198" s="16"/>
      <c r="AB198" s="20"/>
      <c r="AD198" s="16"/>
      <c r="AE198" s="20"/>
    </row>
    <row r="199" spans="1:31" ht="18" hidden="1" customHeight="1" outlineLevel="1" x14ac:dyDescent="0.2">
      <c r="A199" s="30" t="s">
        <v>36</v>
      </c>
      <c r="B199" s="30" t="s">
        <v>243</v>
      </c>
      <c r="C199" s="4"/>
      <c r="D199" s="4"/>
      <c r="F199" s="51" t="s">
        <v>246</v>
      </c>
      <c r="G199" s="34"/>
      <c r="H199" s="72">
        <v>1</v>
      </c>
      <c r="I199" s="72">
        <v>0.996</v>
      </c>
      <c r="J199" s="72">
        <v>0.996</v>
      </c>
      <c r="K199" s="111">
        <v>3.5</v>
      </c>
      <c r="L199" s="111">
        <v>3.7850000000000001</v>
      </c>
      <c r="M199" s="72">
        <v>0.996</v>
      </c>
      <c r="N199" s="72">
        <v>0.996</v>
      </c>
      <c r="O199" s="72">
        <v>0.996</v>
      </c>
      <c r="P199" s="72">
        <v>0.996</v>
      </c>
      <c r="Q199" s="72">
        <v>0.99599999999999955</v>
      </c>
      <c r="R199" s="72">
        <v>0.99600000000000044</v>
      </c>
      <c r="S199" s="72">
        <v>0.99599999999999955</v>
      </c>
      <c r="T199" s="72">
        <v>0.99600000000000044</v>
      </c>
      <c r="U199" s="72">
        <v>0.99600000000000044</v>
      </c>
      <c r="V199" s="72">
        <v>0.99599999999999866</v>
      </c>
      <c r="W199" s="72">
        <v>0.99600000000000044</v>
      </c>
      <c r="X199" s="72">
        <v>0.99600000000000044</v>
      </c>
      <c r="Y199" s="72">
        <v>0.996</v>
      </c>
      <c r="Z199" s="34"/>
      <c r="AA199" s="72">
        <v>3.5</v>
      </c>
      <c r="AB199" s="73">
        <v>-2.5</v>
      </c>
      <c r="AC199" s="34"/>
      <c r="AD199" s="72">
        <v>3.7850000000000001</v>
      </c>
      <c r="AE199" s="73">
        <v>-2.79</v>
      </c>
    </row>
    <row r="200" spans="1:31" ht="18" hidden="1" customHeight="1" outlineLevel="1" x14ac:dyDescent="0.2">
      <c r="A200" s="30" t="s">
        <v>36</v>
      </c>
      <c r="B200" s="30" t="s">
        <v>244</v>
      </c>
      <c r="C200" s="4"/>
      <c r="D200" s="4"/>
      <c r="F200" s="51" t="s">
        <v>247</v>
      </c>
      <c r="G200" s="34"/>
      <c r="H200" s="72">
        <v>1</v>
      </c>
      <c r="I200" s="72">
        <v>0.996</v>
      </c>
      <c r="J200" s="72">
        <v>0.996</v>
      </c>
      <c r="K200" s="111">
        <v>1</v>
      </c>
      <c r="L200" s="111">
        <v>1</v>
      </c>
      <c r="M200" s="72">
        <v>0.996</v>
      </c>
      <c r="N200" s="72">
        <v>0.996</v>
      </c>
      <c r="O200" s="72">
        <v>0.996</v>
      </c>
      <c r="P200" s="72">
        <v>0.996</v>
      </c>
      <c r="Q200" s="72">
        <v>0.99599999999999955</v>
      </c>
      <c r="R200" s="72">
        <v>0.99600000000000044</v>
      </c>
      <c r="S200" s="72">
        <v>0.99599999999999955</v>
      </c>
      <c r="T200" s="72">
        <v>0.99600000000000044</v>
      </c>
      <c r="U200" s="72">
        <v>0.99600000000000044</v>
      </c>
      <c r="V200" s="72">
        <v>0.99599999999999866</v>
      </c>
      <c r="W200" s="72">
        <v>0.99600000000000044</v>
      </c>
      <c r="X200" s="72">
        <v>0.99600000000000044</v>
      </c>
      <c r="Y200" s="72">
        <v>0.996</v>
      </c>
      <c r="Z200" s="34"/>
      <c r="AA200" s="72">
        <v>1</v>
      </c>
      <c r="AB200" s="73">
        <v>0</v>
      </c>
      <c r="AC200" s="34"/>
      <c r="AD200" s="72">
        <v>1</v>
      </c>
      <c r="AE200" s="73">
        <v>0</v>
      </c>
    </row>
    <row r="201" spans="1:31" ht="18" hidden="1" customHeight="1" outlineLevel="1" x14ac:dyDescent="0.2">
      <c r="A201" s="30" t="s">
        <v>36</v>
      </c>
      <c r="B201" s="30" t="s">
        <v>245</v>
      </c>
      <c r="C201" s="4"/>
      <c r="D201" s="4"/>
      <c r="F201" s="51" t="s">
        <v>248</v>
      </c>
      <c r="G201" s="34"/>
      <c r="H201" s="72">
        <v>6.56</v>
      </c>
      <c r="I201" s="72">
        <v>6.0750000000000002</v>
      </c>
      <c r="J201" s="72">
        <v>6.0750000000000002</v>
      </c>
      <c r="K201" s="111">
        <v>6</v>
      </c>
      <c r="L201" s="111">
        <v>6.5090000000000003</v>
      </c>
      <c r="M201" s="72">
        <v>4.944</v>
      </c>
      <c r="N201" s="72">
        <v>5.976</v>
      </c>
      <c r="O201" s="72">
        <v>5.927999999999999</v>
      </c>
      <c r="P201" s="72">
        <v>5.5680000000000014</v>
      </c>
      <c r="Q201" s="72">
        <v>5.9760000000000026</v>
      </c>
      <c r="R201" s="72">
        <v>5.652000000000001</v>
      </c>
      <c r="S201" s="72">
        <v>7.823999999999991</v>
      </c>
      <c r="T201" s="72">
        <v>8.1599999999999966</v>
      </c>
      <c r="U201" s="72">
        <v>6.8880000000000123</v>
      </c>
      <c r="V201" s="72">
        <v>5.975999999999992</v>
      </c>
      <c r="W201" s="72">
        <v>6.7199999999999989</v>
      </c>
      <c r="X201" s="72">
        <v>6.612000000000009</v>
      </c>
      <c r="Y201" s="72">
        <v>6.3520000000000003</v>
      </c>
      <c r="Z201" s="34"/>
      <c r="AA201" s="72">
        <v>6</v>
      </c>
      <c r="AB201" s="73">
        <v>0.35</v>
      </c>
      <c r="AC201" s="34"/>
      <c r="AD201" s="72">
        <v>6.5090000000000003</v>
      </c>
      <c r="AE201" s="73">
        <v>-0.16</v>
      </c>
    </row>
    <row r="202" spans="1:31" ht="18" customHeight="1" collapsed="1" x14ac:dyDescent="0.2">
      <c r="A202" s="30" t="s">
        <v>36</v>
      </c>
      <c r="B202" s="30" t="s">
        <v>22</v>
      </c>
      <c r="C202" s="4"/>
      <c r="D202" s="4"/>
      <c r="F202" s="97" t="s">
        <v>250</v>
      </c>
      <c r="H202" s="74">
        <v>8.56</v>
      </c>
      <c r="I202" s="74">
        <v>8.0670000000000002</v>
      </c>
      <c r="J202" s="74">
        <v>8.0670000000000002</v>
      </c>
      <c r="K202" s="112">
        <v>10.5</v>
      </c>
      <c r="L202" s="112">
        <v>11.294</v>
      </c>
      <c r="M202" s="74">
        <v>6.9359999999999999</v>
      </c>
      <c r="N202" s="74">
        <v>7.968</v>
      </c>
      <c r="O202" s="74">
        <v>7.9199999999999982</v>
      </c>
      <c r="P202" s="74">
        <v>7.5600000000000023</v>
      </c>
      <c r="Q202" s="74">
        <v>7.9680000000000035</v>
      </c>
      <c r="R202" s="74">
        <v>7.6439999999999984</v>
      </c>
      <c r="S202" s="74">
        <v>9.8159999999999954</v>
      </c>
      <c r="T202" s="74">
        <v>10.152000000000001</v>
      </c>
      <c r="U202" s="74">
        <v>8.8799999999999955</v>
      </c>
      <c r="V202" s="74">
        <v>7.9680000000000035</v>
      </c>
      <c r="W202" s="74">
        <v>8.7120000000000033</v>
      </c>
      <c r="X202" s="74">
        <v>8.603999999999985</v>
      </c>
      <c r="Y202" s="74">
        <v>8.3439999999999994</v>
      </c>
      <c r="AA202" s="74">
        <v>10.5</v>
      </c>
      <c r="AB202" s="73">
        <v>-2.16</v>
      </c>
      <c r="AD202" s="74">
        <v>11.294</v>
      </c>
      <c r="AE202" s="73">
        <v>-2.95</v>
      </c>
    </row>
    <row r="203" spans="1:31" ht="18" hidden="1" customHeight="1" outlineLevel="1" collapsed="1" x14ac:dyDescent="0.2">
      <c r="A203" s="33" t="s">
        <v>211</v>
      </c>
      <c r="B203" s="33" t="s">
        <v>22</v>
      </c>
      <c r="C203" s="4"/>
      <c r="D203" s="4"/>
      <c r="F203" s="98" t="s">
        <v>212</v>
      </c>
      <c r="G203" s="34"/>
      <c r="H203" s="75">
        <v>10.305</v>
      </c>
      <c r="I203" s="75">
        <v>9.8140000000000001</v>
      </c>
      <c r="J203" s="75">
        <v>9.8140000000000001</v>
      </c>
      <c r="K203" s="112">
        <v>10.5</v>
      </c>
      <c r="L203" s="112">
        <v>11.294</v>
      </c>
      <c r="M203" s="75">
        <v>8.2919999999999998</v>
      </c>
      <c r="N203" s="75">
        <v>9.06</v>
      </c>
      <c r="O203" s="75">
        <v>8.9759999999999991</v>
      </c>
      <c r="P203" s="75">
        <v>8.9160000000000004</v>
      </c>
      <c r="Q203" s="75">
        <v>9.0600000000000023</v>
      </c>
      <c r="R203" s="75">
        <v>8.9759999999999991</v>
      </c>
      <c r="S203" s="75">
        <v>10.811999999999998</v>
      </c>
      <c r="T203" s="75">
        <v>11.388000000000005</v>
      </c>
      <c r="U203" s="75">
        <v>9.9119999999999919</v>
      </c>
      <c r="V203" s="75">
        <v>9.9720000000000084</v>
      </c>
      <c r="W203" s="75">
        <v>10.943999999999988</v>
      </c>
      <c r="X203" s="75">
        <v>10.728000000000009</v>
      </c>
      <c r="Y203" s="75">
        <v>9.7530000000000001</v>
      </c>
      <c r="Z203" s="34"/>
      <c r="AA203" s="75">
        <v>10.5</v>
      </c>
      <c r="AB203" s="76">
        <v>-0.75</v>
      </c>
      <c r="AC203" s="34"/>
      <c r="AD203" s="75">
        <v>11.294</v>
      </c>
      <c r="AE203" s="76">
        <v>-1.54</v>
      </c>
    </row>
    <row r="204" spans="1:31" ht="18" hidden="1" customHeight="1" outlineLevel="1" collapsed="1" x14ac:dyDescent="0.2">
      <c r="A204" s="35"/>
      <c r="B204" s="35"/>
      <c r="C204" s="4"/>
      <c r="D204" s="4"/>
      <c r="F204" s="97" t="s">
        <v>251</v>
      </c>
      <c r="H204" s="74">
        <v>1.7449999999999992</v>
      </c>
      <c r="I204" s="74">
        <v>1.7469999999999999</v>
      </c>
      <c r="J204" s="74">
        <v>1.7469999999999999</v>
      </c>
      <c r="K204" s="112">
        <v>0</v>
      </c>
      <c r="L204" s="112">
        <v>0</v>
      </c>
      <c r="M204" s="74">
        <v>1.3559999999999999</v>
      </c>
      <c r="N204" s="74">
        <v>1.0920000000000005</v>
      </c>
      <c r="O204" s="74">
        <v>1.0560000000000009</v>
      </c>
      <c r="P204" s="74">
        <v>1.3559999999999981</v>
      </c>
      <c r="Q204" s="74">
        <v>1.0919999999999987</v>
      </c>
      <c r="R204" s="74">
        <v>1.3320000000000007</v>
      </c>
      <c r="S204" s="74">
        <v>0.99600000000000222</v>
      </c>
      <c r="T204" s="74">
        <v>1.2360000000000042</v>
      </c>
      <c r="U204" s="74">
        <v>1.0319999999999965</v>
      </c>
      <c r="V204" s="74">
        <v>2.0040000000000049</v>
      </c>
      <c r="W204" s="74">
        <v>2.2319999999999851</v>
      </c>
      <c r="X204" s="74">
        <v>2.1240000000000236</v>
      </c>
      <c r="Y204" s="74">
        <v>1.4090000000000007</v>
      </c>
      <c r="AA204" s="74">
        <v>0</v>
      </c>
      <c r="AB204" s="73">
        <v>1.41</v>
      </c>
      <c r="AD204" s="74">
        <v>0</v>
      </c>
      <c r="AE204" s="73">
        <v>1.41</v>
      </c>
    </row>
    <row r="205" spans="1:31" ht="12.95" hidden="1" customHeight="1" outlineLevel="1" x14ac:dyDescent="0.2">
      <c r="A205" s="35"/>
      <c r="B205" s="35"/>
      <c r="C205" s="4"/>
      <c r="D205" s="4"/>
      <c r="F205" s="39" t="s">
        <v>37</v>
      </c>
      <c r="H205" s="68">
        <v>0.16933527413876751</v>
      </c>
      <c r="I205" s="68">
        <v>0.17801100468718156</v>
      </c>
      <c r="J205" s="68">
        <v>0.17801100468718156</v>
      </c>
      <c r="K205" s="113">
        <v>0</v>
      </c>
      <c r="L205" s="113">
        <v>0</v>
      </c>
      <c r="M205" s="68">
        <v>0.16353111432706222</v>
      </c>
      <c r="N205" s="68">
        <v>0.12052980132450336</v>
      </c>
      <c r="O205" s="68">
        <v>0.11764705882352954</v>
      </c>
      <c r="P205" s="68">
        <v>0.15208613728129183</v>
      </c>
      <c r="Q205" s="68">
        <v>0.12052980132450314</v>
      </c>
      <c r="R205" s="68">
        <v>0.14839572192513378</v>
      </c>
      <c r="S205" s="68">
        <v>9.2119866814650619E-2</v>
      </c>
      <c r="T205" s="68">
        <v>0.10853530031612256</v>
      </c>
      <c r="U205" s="68">
        <v>0.10411622276029028</v>
      </c>
      <c r="V205" s="68">
        <v>0.2009626955475334</v>
      </c>
      <c r="W205" s="68">
        <v>0.20394736842105149</v>
      </c>
      <c r="X205" s="68">
        <v>0.1979865771812101</v>
      </c>
      <c r="Y205" s="68">
        <v>0.14446836870706456</v>
      </c>
      <c r="AA205" s="68">
        <v>0</v>
      </c>
      <c r="AB205" s="69"/>
      <c r="AD205" s="68">
        <v>0</v>
      </c>
      <c r="AE205" s="69"/>
    </row>
    <row r="206" spans="1:31" ht="18" customHeight="1" collapsed="1" x14ac:dyDescent="0.2">
      <c r="A206" s="30" t="s">
        <v>220</v>
      </c>
      <c r="B206" s="30" t="s">
        <v>22</v>
      </c>
      <c r="C206" s="4">
        <v>-5.7599211665490251E-2</v>
      </c>
      <c r="D206" s="4">
        <v>-2.068362175469908E-2</v>
      </c>
      <c r="F206" s="106" t="s">
        <v>66</v>
      </c>
      <c r="H206" s="61">
        <v>-546.34900000000005</v>
      </c>
      <c r="I206" s="61">
        <v>-583.29999999999995</v>
      </c>
      <c r="J206" s="61">
        <v>-583.29999999999995</v>
      </c>
      <c r="K206" s="86">
        <v>-646.71024</v>
      </c>
      <c r="L206" s="86">
        <v>-670.09541000000002</v>
      </c>
      <c r="M206" s="61">
        <v>-52.951000000000001</v>
      </c>
      <c r="N206" s="61">
        <v>-50.163999999999994</v>
      </c>
      <c r="O206" s="61">
        <v>-51.585999999999999</v>
      </c>
      <c r="P206" s="61">
        <v>-53.608000000000004</v>
      </c>
      <c r="Q206" s="61">
        <v>-58.815000000000026</v>
      </c>
      <c r="R206" s="61">
        <v>-58.564999999999998</v>
      </c>
      <c r="S206" s="61">
        <v>-54.153999999999996</v>
      </c>
      <c r="T206" s="61">
        <v>-63.831999999999994</v>
      </c>
      <c r="U206" s="61">
        <v>-68.02600000000001</v>
      </c>
      <c r="V206" s="61">
        <v>-57.231999999999971</v>
      </c>
      <c r="W206" s="61">
        <v>-56.758000000000038</v>
      </c>
      <c r="X206" s="61">
        <v>-58.266999999999939</v>
      </c>
      <c r="Y206" s="61">
        <v>-683.95799999999997</v>
      </c>
      <c r="AA206" s="61">
        <v>-646.71024</v>
      </c>
      <c r="AB206" s="60">
        <v>-37.25</v>
      </c>
      <c r="AD206" s="61">
        <v>-670.09541000000002</v>
      </c>
      <c r="AE206" s="60">
        <v>-13.86</v>
      </c>
    </row>
    <row r="207" spans="1:31" ht="18" customHeight="1" x14ac:dyDescent="0.2">
      <c r="A207" s="30" t="s">
        <v>218</v>
      </c>
      <c r="B207" s="30" t="s">
        <v>22</v>
      </c>
      <c r="C207" s="4">
        <v>-1.0004062563477554</v>
      </c>
      <c r="D207" s="4">
        <v>-1.0004062563477554</v>
      </c>
      <c r="F207" s="104" t="s">
        <v>219</v>
      </c>
      <c r="G207" s="36"/>
      <c r="H207" s="65">
        <v>2.9249999999999998</v>
      </c>
      <c r="I207" s="65">
        <v>-0.32700000000000001</v>
      </c>
      <c r="J207" s="65">
        <v>-0.32700000000000001</v>
      </c>
      <c r="K207" s="65">
        <v>0</v>
      </c>
      <c r="L207" s="65">
        <v>0</v>
      </c>
      <c r="M207" s="65">
        <v>-4.82</v>
      </c>
      <c r="N207" s="65">
        <v>-4.2579999999999991</v>
      </c>
      <c r="O207" s="65">
        <v>-2.1390000000000011</v>
      </c>
      <c r="P207" s="65">
        <v>-2.6869999999999994</v>
      </c>
      <c r="Q207" s="65">
        <v>5.7810000000000006</v>
      </c>
      <c r="R207" s="65">
        <v>-1.0820000000000007</v>
      </c>
      <c r="S207" s="65">
        <v>4.5200000000000005</v>
      </c>
      <c r="T207" s="65">
        <v>11.332999999999998</v>
      </c>
      <c r="U207" s="65">
        <v>-3.0079999999999987</v>
      </c>
      <c r="V207" s="65">
        <v>-2.5220000000000002</v>
      </c>
      <c r="W207" s="65">
        <v>-4.7279999999999998</v>
      </c>
      <c r="X207" s="65">
        <v>-6.2360000000000007</v>
      </c>
      <c r="Y207" s="65">
        <v>-9.8460000000000001</v>
      </c>
      <c r="Z207" s="36"/>
      <c r="AA207" s="65">
        <v>0</v>
      </c>
      <c r="AB207" s="60">
        <v>-9.85</v>
      </c>
      <c r="AC207" s="36"/>
      <c r="AD207" s="65">
        <v>0</v>
      </c>
      <c r="AE207" s="60">
        <v>-9.85</v>
      </c>
    </row>
    <row r="208" spans="1:31" ht="18" customHeight="1" x14ac:dyDescent="0.2">
      <c r="A208" s="30" t="s">
        <v>34</v>
      </c>
      <c r="B208" s="30" t="s">
        <v>22</v>
      </c>
      <c r="C208" s="4">
        <v>0</v>
      </c>
      <c r="D208" s="4">
        <v>0</v>
      </c>
      <c r="F208" s="106" t="s">
        <v>57</v>
      </c>
      <c r="H208" s="61">
        <v>0</v>
      </c>
      <c r="I208" s="61">
        <v>0</v>
      </c>
      <c r="J208" s="61">
        <v>0</v>
      </c>
      <c r="K208" s="86">
        <v>0</v>
      </c>
      <c r="L208" s="86">
        <v>0</v>
      </c>
      <c r="M208" s="61">
        <v>0</v>
      </c>
      <c r="N208" s="61">
        <v>0</v>
      </c>
      <c r="O208" s="61">
        <v>0</v>
      </c>
      <c r="P208" s="61">
        <v>0</v>
      </c>
      <c r="Q208" s="61">
        <v>0</v>
      </c>
      <c r="R208" s="61">
        <v>0</v>
      </c>
      <c r="S208" s="61">
        <v>0</v>
      </c>
      <c r="T208" s="61">
        <v>0</v>
      </c>
      <c r="U208" s="61">
        <v>0</v>
      </c>
      <c r="V208" s="61">
        <v>0</v>
      </c>
      <c r="W208" s="61">
        <v>0</v>
      </c>
      <c r="X208" s="61">
        <v>0</v>
      </c>
      <c r="Y208" s="61">
        <v>0</v>
      </c>
      <c r="AA208" s="61">
        <v>0</v>
      </c>
      <c r="AB208" s="60">
        <v>0</v>
      </c>
      <c r="AD208" s="61">
        <v>0</v>
      </c>
      <c r="AE208" s="60">
        <v>0</v>
      </c>
    </row>
    <row r="209" spans="1:31" ht="18" customHeight="1" x14ac:dyDescent="0.2">
      <c r="A209" s="30" t="s">
        <v>221</v>
      </c>
      <c r="B209" s="30" t="s">
        <v>22</v>
      </c>
      <c r="C209" s="4">
        <v>0</v>
      </c>
      <c r="D209" s="4">
        <v>0</v>
      </c>
      <c r="F209" s="106" t="s">
        <v>379</v>
      </c>
      <c r="H209" s="61">
        <v>8.8960000000000008</v>
      </c>
      <c r="I209" s="61">
        <v>3.177</v>
      </c>
      <c r="J209" s="61">
        <v>3.177</v>
      </c>
      <c r="K209" s="86">
        <v>0</v>
      </c>
      <c r="L209" s="86">
        <v>0</v>
      </c>
      <c r="M209" s="61">
        <v>0</v>
      </c>
      <c r="N209" s="61">
        <v>0</v>
      </c>
      <c r="O209" s="61">
        <v>0</v>
      </c>
      <c r="P209" s="61">
        <v>0</v>
      </c>
      <c r="Q209" s="61">
        <v>0</v>
      </c>
      <c r="R209" s="61">
        <v>0</v>
      </c>
      <c r="S209" s="61">
        <v>0</v>
      </c>
      <c r="T209" s="61">
        <v>0</v>
      </c>
      <c r="U209" s="61">
        <v>0</v>
      </c>
      <c r="V209" s="61">
        <v>0</v>
      </c>
      <c r="W209" s="61">
        <v>0</v>
      </c>
      <c r="X209" s="61">
        <v>0</v>
      </c>
      <c r="Y209" s="61">
        <v>0</v>
      </c>
      <c r="AA209" s="61">
        <v>0</v>
      </c>
      <c r="AB209" s="60">
        <v>0</v>
      </c>
      <c r="AD209" s="61">
        <v>0</v>
      </c>
      <c r="AE209" s="60">
        <v>0</v>
      </c>
    </row>
    <row r="210" spans="1:31" ht="18" customHeight="1" x14ac:dyDescent="0.2">
      <c r="A210" s="30" t="s">
        <v>430</v>
      </c>
      <c r="B210" s="30" t="s">
        <v>22</v>
      </c>
      <c r="C210" s="4">
        <v>0</v>
      </c>
      <c r="D210" s="4">
        <v>0</v>
      </c>
      <c r="F210" s="106" t="s">
        <v>431</v>
      </c>
      <c r="H210" s="61">
        <v>0</v>
      </c>
      <c r="I210" s="61">
        <v>0</v>
      </c>
      <c r="J210" s="61">
        <v>0</v>
      </c>
      <c r="K210" s="86">
        <v>0</v>
      </c>
      <c r="L210" s="86">
        <v>0</v>
      </c>
      <c r="M210" s="61">
        <v>0</v>
      </c>
      <c r="N210" s="61">
        <v>0</v>
      </c>
      <c r="O210" s="61">
        <v>0</v>
      </c>
      <c r="P210" s="61">
        <v>0</v>
      </c>
      <c r="Q210" s="61">
        <v>0</v>
      </c>
      <c r="R210" s="61">
        <v>0</v>
      </c>
      <c r="S210" s="61">
        <v>0</v>
      </c>
      <c r="T210" s="61">
        <v>0</v>
      </c>
      <c r="U210" s="61">
        <v>0</v>
      </c>
      <c r="V210" s="61">
        <v>0</v>
      </c>
      <c r="W210" s="61">
        <v>0</v>
      </c>
      <c r="X210" s="61">
        <v>0</v>
      </c>
      <c r="Y210" s="61">
        <v>0</v>
      </c>
      <c r="AA210" s="61">
        <v>0</v>
      </c>
      <c r="AB210" s="60">
        <v>0</v>
      </c>
      <c r="AD210" s="61">
        <v>0</v>
      </c>
      <c r="AE210" s="60">
        <v>0</v>
      </c>
    </row>
    <row r="211" spans="1:31" ht="18" customHeight="1" x14ac:dyDescent="0.2">
      <c r="A211" s="30" t="s">
        <v>35</v>
      </c>
      <c r="B211" s="30" t="s">
        <v>22</v>
      </c>
      <c r="C211" s="4">
        <v>-1</v>
      </c>
      <c r="D211" s="4">
        <v>-2.7624309392265199E-2</v>
      </c>
      <c r="F211" s="106" t="s">
        <v>67</v>
      </c>
      <c r="H211" s="61">
        <v>0</v>
      </c>
      <c r="I211" s="61">
        <v>-1.274</v>
      </c>
      <c r="J211" s="61">
        <v>-1.274</v>
      </c>
      <c r="K211" s="86">
        <v>0</v>
      </c>
      <c r="L211" s="86">
        <v>-1.81</v>
      </c>
      <c r="M211" s="61">
        <v>-0.13700000000000001</v>
      </c>
      <c r="N211" s="61">
        <v>-0.29399999999999998</v>
      </c>
      <c r="O211" s="61">
        <v>-0.15399999999999997</v>
      </c>
      <c r="P211" s="61">
        <v>-0.17600000000000005</v>
      </c>
      <c r="Q211" s="61">
        <v>3.3000000000000029E-2</v>
      </c>
      <c r="R211" s="61">
        <v>-0.22699999999999998</v>
      </c>
      <c r="S211" s="61">
        <v>-0.17600000000000005</v>
      </c>
      <c r="T211" s="61">
        <v>-0.17700000000000005</v>
      </c>
      <c r="U211" s="61">
        <v>-4.8000000000000043E-2</v>
      </c>
      <c r="V211" s="61">
        <v>-0.14999999999999991</v>
      </c>
      <c r="W211" s="61">
        <v>-0.11899999999999999</v>
      </c>
      <c r="X211" s="61">
        <v>-0.2350000000000001</v>
      </c>
      <c r="Y211" s="61">
        <v>-1.86</v>
      </c>
      <c r="AA211" s="61">
        <v>0</v>
      </c>
      <c r="AB211" s="60">
        <v>-1.86</v>
      </c>
      <c r="AD211" s="61">
        <v>-1.8099999999999998</v>
      </c>
      <c r="AE211" s="60">
        <v>-0.05</v>
      </c>
    </row>
    <row r="212" spans="1:31" ht="18" hidden="1" customHeight="1" outlineLevel="1" collapsed="1" x14ac:dyDescent="0.2">
      <c r="A212" s="35"/>
      <c r="B212" s="35"/>
      <c r="C212" s="4"/>
      <c r="D212" s="4"/>
      <c r="F212" s="97" t="s">
        <v>454</v>
      </c>
      <c r="H212" s="74">
        <v>0.12559090909090909</v>
      </c>
      <c r="I212" s="74">
        <v>2.2204545454545453E-2</v>
      </c>
      <c r="J212" s="74">
        <v>2.2204545454545453E-2</v>
      </c>
      <c r="K212" s="112">
        <v>0</v>
      </c>
      <c r="L212" s="112">
        <v>0</v>
      </c>
      <c r="M212" s="74">
        <v>0</v>
      </c>
      <c r="N212" s="74">
        <v>0</v>
      </c>
      <c r="O212" s="74">
        <v>0</v>
      </c>
      <c r="P212" s="74">
        <v>0</v>
      </c>
      <c r="Q212" s="74">
        <v>0</v>
      </c>
      <c r="R212" s="74">
        <v>0</v>
      </c>
      <c r="S212" s="74">
        <v>0</v>
      </c>
      <c r="T212" s="74">
        <v>0</v>
      </c>
      <c r="U212" s="74">
        <v>0</v>
      </c>
      <c r="V212" s="74">
        <v>0</v>
      </c>
      <c r="W212" s="74">
        <v>0</v>
      </c>
      <c r="X212" s="74">
        <v>0</v>
      </c>
      <c r="Y212" s="74">
        <v>0</v>
      </c>
      <c r="AA212" s="74">
        <v>0</v>
      </c>
      <c r="AB212" s="73">
        <v>0</v>
      </c>
      <c r="AD212" s="74">
        <v>0</v>
      </c>
      <c r="AE212" s="73">
        <v>0</v>
      </c>
    </row>
    <row r="213" spans="1:31" ht="18" customHeight="1" collapsed="1" x14ac:dyDescent="0.2">
      <c r="A213" s="30" t="s">
        <v>20</v>
      </c>
      <c r="B213" s="30" t="s">
        <v>22</v>
      </c>
      <c r="C213" s="4">
        <v>0</v>
      </c>
      <c r="D213" s="4">
        <v>0</v>
      </c>
      <c r="F213" s="106" t="s">
        <v>68</v>
      </c>
      <c r="H213" s="61">
        <v>-5.5259999999999998</v>
      </c>
      <c r="I213" s="61">
        <v>-0.97699999999999998</v>
      </c>
      <c r="J213" s="61">
        <v>-0.97699999999999998</v>
      </c>
      <c r="K213" s="86">
        <v>0</v>
      </c>
      <c r="L213" s="86">
        <v>0</v>
      </c>
      <c r="M213" s="61">
        <v>0</v>
      </c>
      <c r="N213" s="61">
        <v>0</v>
      </c>
      <c r="O213" s="61">
        <v>0</v>
      </c>
      <c r="P213" s="61">
        <v>0</v>
      </c>
      <c r="Q213" s="61">
        <v>0</v>
      </c>
      <c r="R213" s="61">
        <v>0</v>
      </c>
      <c r="S213" s="61">
        <v>0</v>
      </c>
      <c r="T213" s="61">
        <v>0</v>
      </c>
      <c r="U213" s="61">
        <v>0</v>
      </c>
      <c r="V213" s="61">
        <v>0</v>
      </c>
      <c r="W213" s="61">
        <v>0</v>
      </c>
      <c r="X213" s="61">
        <v>0</v>
      </c>
      <c r="Y213" s="61">
        <v>0</v>
      </c>
      <c r="AA213" s="61">
        <v>0</v>
      </c>
      <c r="AB213" s="60">
        <v>0</v>
      </c>
      <c r="AD213" s="61">
        <v>0</v>
      </c>
      <c r="AE213" s="60">
        <v>0</v>
      </c>
    </row>
    <row r="214" spans="1:31" ht="18" customHeight="1" x14ac:dyDescent="0.2">
      <c r="A214" s="35"/>
      <c r="B214" s="35"/>
      <c r="C214" s="4">
        <v>-7.569077613491941E-2</v>
      </c>
      <c r="D214" s="4">
        <v>-3.536212039132116E-2</v>
      </c>
      <c r="F214" s="95" t="s">
        <v>275</v>
      </c>
      <c r="H214" s="64">
        <v>-540.05400000000009</v>
      </c>
      <c r="I214" s="64">
        <v>-582.70099999999991</v>
      </c>
      <c r="J214" s="198">
        <v>-582.70099999999991</v>
      </c>
      <c r="K214" s="89">
        <v>-646.71024</v>
      </c>
      <c r="L214" s="89">
        <v>-671.90540999999996</v>
      </c>
      <c r="M214" s="64">
        <v>-57.908000000000001</v>
      </c>
      <c r="N214" s="64">
        <v>-54.715999999999994</v>
      </c>
      <c r="O214" s="64">
        <v>-53.879000000000005</v>
      </c>
      <c r="P214" s="64">
        <v>-56.471000000000004</v>
      </c>
      <c r="Q214" s="64">
        <v>-53.001000000000026</v>
      </c>
      <c r="R214" s="64">
        <v>-59.873999999999995</v>
      </c>
      <c r="S214" s="64">
        <v>-49.809999999999995</v>
      </c>
      <c r="T214" s="64">
        <v>-52.675999999999995</v>
      </c>
      <c r="U214" s="64">
        <v>-71.082000000000008</v>
      </c>
      <c r="V214" s="64">
        <v>-59.903999999999968</v>
      </c>
      <c r="W214" s="64">
        <v>-61.60500000000004</v>
      </c>
      <c r="X214" s="64">
        <v>-64.737999999999943</v>
      </c>
      <c r="Y214" s="64">
        <v>-695.66399999999999</v>
      </c>
      <c r="AA214" s="64">
        <v>-646.71024</v>
      </c>
      <c r="AB214" s="60">
        <v>-48.95</v>
      </c>
      <c r="AD214" s="64">
        <v>-671.90540999999996</v>
      </c>
      <c r="AE214" s="60">
        <v>-23.76</v>
      </c>
    </row>
    <row r="215" spans="1:31" ht="12.95" customHeight="1" x14ac:dyDescent="0.2">
      <c r="A215" s="35"/>
      <c r="B215" s="35"/>
      <c r="C215" s="4"/>
      <c r="D215" s="4"/>
      <c r="F215" s="39" t="s">
        <v>223</v>
      </c>
      <c r="H215" s="56">
        <v>9.5610094283371333E-2</v>
      </c>
      <c r="I215" s="56">
        <v>9.6208846311461177E-2</v>
      </c>
      <c r="J215" s="56">
        <v>9.6208846311461177E-2</v>
      </c>
      <c r="K215" s="109">
        <v>9.9426915225406642E-2</v>
      </c>
      <c r="L215" s="109">
        <v>9.968661208748672E-2</v>
      </c>
      <c r="M215" s="56">
        <v>0.12348806660183907</v>
      </c>
      <c r="N215" s="56">
        <v>0.10855853800322603</v>
      </c>
      <c r="O215" s="56">
        <v>0.10416715000502673</v>
      </c>
      <c r="P215" s="56">
        <v>9.6318406263058709E-2</v>
      </c>
      <c r="Q215" s="56">
        <v>8.555226983645299E-2</v>
      </c>
      <c r="R215" s="56">
        <v>0.10228192872346606</v>
      </c>
      <c r="S215" s="56">
        <v>8.9560236046331815E-2</v>
      </c>
      <c r="T215" s="56">
        <v>9.4747312321143709E-2</v>
      </c>
      <c r="U215" s="56">
        <v>0.121216358632074</v>
      </c>
      <c r="V215" s="56">
        <v>9.4607271796912654E-2</v>
      </c>
      <c r="W215" s="56">
        <v>0.10451782342332579</v>
      </c>
      <c r="X215" s="56">
        <v>0.10672834702786814</v>
      </c>
      <c r="Y215" s="56">
        <v>0.10216689621262388</v>
      </c>
      <c r="AA215" s="56">
        <v>9.9426915225406642E-2</v>
      </c>
      <c r="AB215" s="57"/>
      <c r="AD215" s="56">
        <v>9.968661208748672E-2</v>
      </c>
      <c r="AE215" s="57"/>
    </row>
    <row r="216" spans="1:31" ht="6.95" customHeight="1" x14ac:dyDescent="0.2">
      <c r="C216" s="4"/>
      <c r="D216" s="4"/>
      <c r="F216" s="96"/>
      <c r="H216" s="16"/>
      <c r="I216" s="16"/>
      <c r="J216" s="16"/>
      <c r="K216" s="85"/>
      <c r="L216" s="85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AA216" s="16"/>
      <c r="AB216" s="20"/>
      <c r="AD216" s="16"/>
      <c r="AE216" s="20"/>
    </row>
    <row r="217" spans="1:31" ht="18" customHeight="1" x14ac:dyDescent="0.2">
      <c r="A217" s="30" t="s">
        <v>70</v>
      </c>
      <c r="B217" s="30" t="s">
        <v>22</v>
      </c>
      <c r="C217" s="4"/>
      <c r="D217" s="4"/>
      <c r="F217" s="97" t="s">
        <v>226</v>
      </c>
      <c r="H217" s="74">
        <v>2</v>
      </c>
      <c r="I217" s="74">
        <v>2.3330000000000002</v>
      </c>
      <c r="J217" s="74">
        <v>2.3330000000000002</v>
      </c>
      <c r="K217" s="112">
        <v>2</v>
      </c>
      <c r="L217" s="112">
        <v>2</v>
      </c>
      <c r="M217" s="74">
        <v>2.004</v>
      </c>
      <c r="N217" s="74">
        <v>1.9920000000000004</v>
      </c>
      <c r="O217" s="74">
        <v>2.0039999999999996</v>
      </c>
      <c r="P217" s="74">
        <v>2.0040000000000013</v>
      </c>
      <c r="Q217" s="74">
        <v>1.9919999999999973</v>
      </c>
      <c r="R217" s="74">
        <v>2.0040000000000013</v>
      </c>
      <c r="S217" s="74">
        <v>2.0040000000000013</v>
      </c>
      <c r="T217" s="74">
        <v>1.9919999999999973</v>
      </c>
      <c r="U217" s="74">
        <v>2.0040000000000013</v>
      </c>
      <c r="V217" s="74">
        <v>2.0040000000000013</v>
      </c>
      <c r="W217" s="74">
        <v>1.9919999999999973</v>
      </c>
      <c r="X217" s="74">
        <v>2.0040000000000013</v>
      </c>
      <c r="Y217" s="74">
        <v>2</v>
      </c>
      <c r="AA217" s="74">
        <v>2</v>
      </c>
      <c r="AB217" s="73">
        <v>0</v>
      </c>
      <c r="AD217" s="74">
        <v>2</v>
      </c>
      <c r="AE217" s="73">
        <v>0</v>
      </c>
    </row>
    <row r="218" spans="1:31" ht="12.95" customHeight="1" x14ac:dyDescent="0.2">
      <c r="A218" s="35"/>
      <c r="B218" s="35"/>
      <c r="C218" s="4"/>
      <c r="D218" s="4"/>
      <c r="F218" s="39" t="s">
        <v>71</v>
      </c>
      <c r="H218" s="132">
        <v>-7940.4999999999982</v>
      </c>
      <c r="I218" s="132">
        <v>-10820.83154736391</v>
      </c>
      <c r="J218" s="132">
        <v>-10820.83154736391</v>
      </c>
      <c r="K218" s="133">
        <v>-9004.0000000000018</v>
      </c>
      <c r="L218" s="133">
        <v>-9154</v>
      </c>
      <c r="M218" s="132">
        <v>-1250.499001996008</v>
      </c>
      <c r="N218" s="132">
        <v>-562.75100401606403</v>
      </c>
      <c r="O218" s="132">
        <v>-461.57684630738538</v>
      </c>
      <c r="P218" s="132">
        <v>-822.85429141716497</v>
      </c>
      <c r="Q218" s="132">
        <v>-1446.7871485943792</v>
      </c>
      <c r="R218" s="132">
        <v>-426.64670658682644</v>
      </c>
      <c r="S218" s="132">
        <v>-1449.6007984031924</v>
      </c>
      <c r="T218" s="132">
        <v>-399.59839357429763</v>
      </c>
      <c r="U218" s="132">
        <v>168.16367265469034</v>
      </c>
      <c r="V218" s="132">
        <v>-772.45508982035869</v>
      </c>
      <c r="W218" s="132">
        <v>-656.12449799196895</v>
      </c>
      <c r="X218" s="132">
        <v>-962.07584830339215</v>
      </c>
      <c r="Y218" s="132">
        <v>-9042.4999999999982</v>
      </c>
      <c r="AA218" s="132">
        <v>-9004.0000000000018</v>
      </c>
      <c r="AB218" s="134">
        <v>-38.5</v>
      </c>
      <c r="AD218" s="132">
        <v>-9154</v>
      </c>
      <c r="AE218" s="134">
        <v>111.5</v>
      </c>
    </row>
    <row r="219" spans="1:31" ht="18" customHeight="1" x14ac:dyDescent="0.2">
      <c r="A219" s="30" t="s">
        <v>63</v>
      </c>
      <c r="B219" s="30" t="s">
        <v>22</v>
      </c>
      <c r="C219" s="4">
        <v>-0.22423664122137402</v>
      </c>
      <c r="D219" s="4">
        <v>7.1187258687258684E-2</v>
      </c>
      <c r="F219" s="106" t="s">
        <v>201</v>
      </c>
      <c r="H219" s="61">
        <v>-9.1809999999999992</v>
      </c>
      <c r="I219" s="61">
        <v>-7.343</v>
      </c>
      <c r="J219" s="61">
        <v>-7.343</v>
      </c>
      <c r="K219" s="86">
        <v>-6.2880000000000003</v>
      </c>
      <c r="L219" s="86">
        <v>-8.2880000000000003</v>
      </c>
      <c r="M219" s="61">
        <v>-0.56599999999999995</v>
      </c>
      <c r="N219" s="61">
        <v>-0.56599999999999995</v>
      </c>
      <c r="O219" s="61">
        <v>-0.56700000000000017</v>
      </c>
      <c r="P219" s="61">
        <v>-0.56600000000000006</v>
      </c>
      <c r="Q219" s="61">
        <v>-2.3719999999999994</v>
      </c>
      <c r="R219" s="61">
        <v>-0.31900000000000084</v>
      </c>
      <c r="S219" s="61">
        <v>-2.2379999999999995</v>
      </c>
      <c r="T219" s="61">
        <v>0.17400000000000038</v>
      </c>
      <c r="U219" s="61">
        <v>0.86099999999999977</v>
      </c>
      <c r="V219" s="61">
        <v>-0.51400000000000023</v>
      </c>
      <c r="W219" s="61">
        <v>-0.51400000000000023</v>
      </c>
      <c r="X219" s="61">
        <v>-0.51399999999999935</v>
      </c>
      <c r="Y219" s="61">
        <v>-7.7009999999999996</v>
      </c>
      <c r="AA219" s="61">
        <v>-6.2880000000000003</v>
      </c>
      <c r="AB219" s="60">
        <v>-1.41</v>
      </c>
      <c r="AD219" s="61">
        <v>-8.2880000000000003</v>
      </c>
      <c r="AE219" s="60">
        <v>0.59</v>
      </c>
    </row>
    <row r="220" spans="1:31" ht="18" customHeight="1" x14ac:dyDescent="0.2">
      <c r="A220" s="30" t="s">
        <v>64</v>
      </c>
      <c r="B220" s="30" t="s">
        <v>22</v>
      </c>
      <c r="C220" s="4">
        <v>0.11244608749229822</v>
      </c>
      <c r="D220" s="4">
        <v>0.11244608749229822</v>
      </c>
      <c r="F220" s="106" t="s">
        <v>202</v>
      </c>
      <c r="H220" s="61">
        <v>-5.4580000000000002</v>
      </c>
      <c r="I220" s="61">
        <v>-8.15</v>
      </c>
      <c r="J220" s="61">
        <v>-8.15</v>
      </c>
      <c r="K220" s="86">
        <v>-6.492</v>
      </c>
      <c r="L220" s="86">
        <v>-6.492</v>
      </c>
      <c r="M220" s="61">
        <v>-0.92700000000000005</v>
      </c>
      <c r="N220" s="61">
        <v>-0.39999999999999991</v>
      </c>
      <c r="O220" s="61">
        <v>-0.23399999999999999</v>
      </c>
      <c r="P220" s="61">
        <v>-0.6419999999999999</v>
      </c>
      <c r="Q220" s="61">
        <v>-0.25900000000000034</v>
      </c>
      <c r="R220" s="61">
        <v>-0.45699999999999985</v>
      </c>
      <c r="S220" s="61">
        <v>-0.49699999999999989</v>
      </c>
      <c r="T220" s="61">
        <v>-0.13100000000000023</v>
      </c>
      <c r="U220" s="61">
        <v>-0.58899999999999997</v>
      </c>
      <c r="V220" s="61">
        <v>-0.71499999999999986</v>
      </c>
      <c r="W220" s="61">
        <v>-0.33000000000000007</v>
      </c>
      <c r="X220" s="61">
        <v>-0.58399999999999963</v>
      </c>
      <c r="Y220" s="61">
        <v>-5.7649999999999997</v>
      </c>
      <c r="AA220" s="61">
        <v>-6.492</v>
      </c>
      <c r="AB220" s="60">
        <v>0.73</v>
      </c>
      <c r="AD220" s="61">
        <v>-6.492</v>
      </c>
      <c r="AE220" s="60">
        <v>0.73</v>
      </c>
    </row>
    <row r="221" spans="1:31" ht="18" hidden="1" customHeight="1" outlineLevel="1" x14ac:dyDescent="0.2">
      <c r="A221" s="30" t="s">
        <v>150</v>
      </c>
      <c r="B221" s="30" t="s">
        <v>22</v>
      </c>
      <c r="C221" s="4">
        <v>-4.807692307692308E-2</v>
      </c>
      <c r="D221" s="4">
        <v>-4.807692307692308E-2</v>
      </c>
      <c r="F221" s="38" t="s">
        <v>151</v>
      </c>
      <c r="G221" s="34"/>
      <c r="H221" s="66">
        <v>-1.1040000000000001</v>
      </c>
      <c r="I221" s="66">
        <v>-2.028</v>
      </c>
      <c r="J221" s="66">
        <v>-2.028</v>
      </c>
      <c r="K221" s="86">
        <v>-0.20799999999999999</v>
      </c>
      <c r="L221" s="86">
        <v>-0.20799999999999999</v>
      </c>
      <c r="M221" s="66">
        <v>0</v>
      </c>
      <c r="N221" s="66">
        <v>0</v>
      </c>
      <c r="O221" s="66">
        <v>0</v>
      </c>
      <c r="P221" s="66">
        <v>0</v>
      </c>
      <c r="Q221" s="66">
        <v>0</v>
      </c>
      <c r="R221" s="66">
        <v>0</v>
      </c>
      <c r="S221" s="66">
        <v>0</v>
      </c>
      <c r="T221" s="66">
        <v>0</v>
      </c>
      <c r="U221" s="66">
        <v>0</v>
      </c>
      <c r="V221" s="66">
        <v>0</v>
      </c>
      <c r="W221" s="66">
        <v>-0.22</v>
      </c>
      <c r="X221" s="66">
        <v>0</v>
      </c>
      <c r="Y221" s="66">
        <v>-0.22</v>
      </c>
      <c r="Z221" s="34"/>
      <c r="AA221" s="66">
        <v>-0.20799999999999999</v>
      </c>
      <c r="AB221" s="60">
        <v>-0.01</v>
      </c>
      <c r="AC221" s="34"/>
      <c r="AD221" s="66">
        <v>-0.20799999999999999</v>
      </c>
      <c r="AE221" s="60">
        <v>-0.01</v>
      </c>
    </row>
    <row r="222" spans="1:31" ht="18" hidden="1" customHeight="1" outlineLevel="1" x14ac:dyDescent="0.2">
      <c r="A222" s="30" t="s">
        <v>168</v>
      </c>
      <c r="B222" s="30" t="s">
        <v>22</v>
      </c>
      <c r="C222" s="4">
        <v>-9.1503267973856217E-2</v>
      </c>
      <c r="D222" s="4">
        <v>-9.1503267973856217E-2</v>
      </c>
      <c r="F222" s="38" t="s">
        <v>169</v>
      </c>
      <c r="G222" s="34"/>
      <c r="H222" s="66">
        <v>-1.302</v>
      </c>
      <c r="I222" s="66">
        <v>-1.248</v>
      </c>
      <c r="J222" s="66">
        <v>-1.248</v>
      </c>
      <c r="K222" s="86">
        <v>-1.53</v>
      </c>
      <c r="L222" s="86">
        <v>-1.53</v>
      </c>
      <c r="M222" s="66">
        <v>-9.8000000000000004E-2</v>
      </c>
      <c r="N222" s="66">
        <v>-9.7000000000000003E-2</v>
      </c>
      <c r="O222" s="66">
        <v>-9.7999999999999976E-2</v>
      </c>
      <c r="P222" s="66">
        <v>-9.7000000000000031E-2</v>
      </c>
      <c r="Q222" s="66">
        <v>-9.7999999999999976E-2</v>
      </c>
      <c r="R222" s="66">
        <v>-5.2000000000000046E-2</v>
      </c>
      <c r="S222" s="66">
        <v>-0.14300000000000002</v>
      </c>
      <c r="T222" s="66">
        <v>-0.7609999999999999</v>
      </c>
      <c r="U222" s="66">
        <v>9.199999999999986E-2</v>
      </c>
      <c r="V222" s="66">
        <v>-0.10799999999999987</v>
      </c>
      <c r="W222" s="66">
        <v>-0.10699999999999998</v>
      </c>
      <c r="X222" s="66">
        <v>-0.10699999999999998</v>
      </c>
      <c r="Y222" s="66">
        <v>-1.6739999999999999</v>
      </c>
      <c r="Z222" s="34"/>
      <c r="AA222" s="66">
        <v>-1.53</v>
      </c>
      <c r="AB222" s="60">
        <v>-0.14000000000000001</v>
      </c>
      <c r="AC222" s="34"/>
      <c r="AD222" s="66">
        <v>-1.53</v>
      </c>
      <c r="AE222" s="60">
        <v>-0.14000000000000001</v>
      </c>
    </row>
    <row r="223" spans="1:31" ht="18" hidden="1" customHeight="1" outlineLevel="1" x14ac:dyDescent="0.2">
      <c r="A223" s="30" t="s">
        <v>170</v>
      </c>
      <c r="B223" s="30" t="s">
        <v>22</v>
      </c>
      <c r="C223" s="4">
        <v>-1.4971751412429382</v>
      </c>
      <c r="D223" s="4">
        <v>7.337526205450734E-2</v>
      </c>
      <c r="F223" s="38" t="s">
        <v>171</v>
      </c>
      <c r="G223" s="34"/>
      <c r="H223" s="66">
        <v>0</v>
      </c>
      <c r="I223" s="66">
        <v>-2.8000000000000001E-2</v>
      </c>
      <c r="J223" s="66">
        <v>-2.8000000000000001E-2</v>
      </c>
      <c r="K223" s="86">
        <v>-0.35399999999999998</v>
      </c>
      <c r="L223" s="86">
        <v>-0.95399999999999996</v>
      </c>
      <c r="M223" s="66">
        <v>-0.88800000000000001</v>
      </c>
      <c r="N223" s="66">
        <v>0</v>
      </c>
      <c r="O223" s="66">
        <v>0</v>
      </c>
      <c r="P223" s="66">
        <v>0</v>
      </c>
      <c r="Q223" s="66">
        <v>0</v>
      </c>
      <c r="R223" s="66">
        <v>0</v>
      </c>
      <c r="S223" s="66">
        <v>0</v>
      </c>
      <c r="T223" s="66">
        <v>0</v>
      </c>
      <c r="U223" s="66">
        <v>0</v>
      </c>
      <c r="V223" s="66">
        <v>0</v>
      </c>
      <c r="W223" s="66">
        <v>0</v>
      </c>
      <c r="X223" s="66">
        <v>0</v>
      </c>
      <c r="Y223" s="66">
        <v>-0.88800000000000001</v>
      </c>
      <c r="Z223" s="34"/>
      <c r="AA223" s="66">
        <v>-0.35399999999999993</v>
      </c>
      <c r="AB223" s="60">
        <v>-0.53</v>
      </c>
      <c r="AC223" s="34"/>
      <c r="AD223" s="66">
        <v>-0.95400000000000007</v>
      </c>
      <c r="AE223" s="60">
        <v>7.0000000000000007E-2</v>
      </c>
    </row>
    <row r="224" spans="1:31" ht="18" customHeight="1" collapsed="1" x14ac:dyDescent="0.2">
      <c r="A224" s="35"/>
      <c r="B224" s="35"/>
      <c r="C224" s="4">
        <v>-0.32982791586998084</v>
      </c>
      <c r="D224" s="4">
        <v>-3.3432392273402674E-2</v>
      </c>
      <c r="F224" s="106" t="s">
        <v>151</v>
      </c>
      <c r="H224" s="61">
        <v>-2.4060000000000001</v>
      </c>
      <c r="I224" s="61">
        <v>-3.3039999999999998</v>
      </c>
      <c r="J224" s="61">
        <v>-3.3039999999999998</v>
      </c>
      <c r="K224" s="86">
        <v>-2.0920000000000001</v>
      </c>
      <c r="L224" s="86">
        <v>-2.6920000000000002</v>
      </c>
      <c r="M224" s="61">
        <v>-0.98599999999999999</v>
      </c>
      <c r="N224" s="61">
        <v>-9.7000000000000003E-2</v>
      </c>
      <c r="O224" s="61">
        <v>-9.7999999999999976E-2</v>
      </c>
      <c r="P224" s="61">
        <v>-9.7000000000000031E-2</v>
      </c>
      <c r="Q224" s="61">
        <v>-9.7999999999999976E-2</v>
      </c>
      <c r="R224" s="61">
        <v>-5.2000000000000046E-2</v>
      </c>
      <c r="S224" s="61">
        <v>-0.14300000000000002</v>
      </c>
      <c r="T224" s="61">
        <v>-0.7609999999999999</v>
      </c>
      <c r="U224" s="61">
        <v>9.199999999999986E-2</v>
      </c>
      <c r="V224" s="61">
        <v>-0.10799999999999987</v>
      </c>
      <c r="W224" s="61">
        <v>-0.32699999999999996</v>
      </c>
      <c r="X224" s="61">
        <v>-0.10699999999999998</v>
      </c>
      <c r="Y224" s="61">
        <v>-2.782</v>
      </c>
      <c r="AA224" s="61">
        <v>-2.0920000000000001</v>
      </c>
      <c r="AB224" s="60">
        <v>-0.69</v>
      </c>
      <c r="AD224" s="61">
        <v>-2.6920000000000002</v>
      </c>
      <c r="AE224" s="60">
        <v>-0.09</v>
      </c>
    </row>
    <row r="225" spans="1:39" ht="18" customHeight="1" collapsed="1" x14ac:dyDescent="0.2">
      <c r="A225" s="30" t="s">
        <v>146</v>
      </c>
      <c r="B225" s="30" t="s">
        <v>22</v>
      </c>
      <c r="C225" s="4">
        <v>-0.23109243697478993</v>
      </c>
      <c r="D225" s="4">
        <v>-0.23109243697478993</v>
      </c>
      <c r="F225" s="106" t="s">
        <v>147</v>
      </c>
      <c r="H225" s="61">
        <v>-0.34799999999999998</v>
      </c>
      <c r="I225" s="61">
        <v>-1.5329999999999999</v>
      </c>
      <c r="J225" s="61">
        <v>-1.5329999999999999</v>
      </c>
      <c r="K225" s="86">
        <v>-0.47599999999999998</v>
      </c>
      <c r="L225" s="86">
        <v>-0.47599999999999998</v>
      </c>
      <c r="M225" s="61">
        <v>-2.7E-2</v>
      </c>
      <c r="N225" s="61">
        <v>-2.7E-2</v>
      </c>
      <c r="O225" s="61">
        <v>-2.6000000000000002E-2</v>
      </c>
      <c r="P225" s="61">
        <v>-2.6999999999999996E-2</v>
      </c>
      <c r="Q225" s="61">
        <v>-0.11700000000000001</v>
      </c>
      <c r="R225" s="61">
        <v>-2.6999999999999996E-2</v>
      </c>
      <c r="S225" s="61">
        <v>-2.7000000000000024E-2</v>
      </c>
      <c r="T225" s="61">
        <v>-2.5999999999999968E-2</v>
      </c>
      <c r="U225" s="61">
        <v>-2.7000000000000024E-2</v>
      </c>
      <c r="V225" s="61">
        <v>-0.192</v>
      </c>
      <c r="W225" s="61">
        <v>-9.9999999999999978E-2</v>
      </c>
      <c r="X225" s="61">
        <v>3.400000000000003E-2</v>
      </c>
      <c r="Y225" s="61">
        <v>-0.58899999999999997</v>
      </c>
      <c r="AA225" s="61">
        <v>-0.47599999999999998</v>
      </c>
      <c r="AB225" s="60">
        <v>-0.11</v>
      </c>
      <c r="AD225" s="61">
        <v>-0.47599999999999998</v>
      </c>
      <c r="AE225" s="60">
        <v>-0.11</v>
      </c>
    </row>
    <row r="226" spans="1:39" ht="18" hidden="1" customHeight="1" outlineLevel="1" x14ac:dyDescent="0.2">
      <c r="A226" s="30" t="s">
        <v>154</v>
      </c>
      <c r="B226" s="30" t="s">
        <v>22</v>
      </c>
      <c r="C226" s="4">
        <v>0.61594202898550732</v>
      </c>
      <c r="D226" s="4">
        <v>0.39772727272727271</v>
      </c>
      <c r="F226" s="38" t="s">
        <v>155</v>
      </c>
      <c r="G226" s="34"/>
      <c r="H226" s="66">
        <v>0</v>
      </c>
      <c r="I226" s="66">
        <v>-4</v>
      </c>
      <c r="J226" s="66">
        <v>-4</v>
      </c>
      <c r="K226" s="86">
        <v>-0.82799999999999996</v>
      </c>
      <c r="L226" s="86">
        <v>-0.52800000000000002</v>
      </c>
      <c r="M226" s="66">
        <v>0</v>
      </c>
      <c r="N226" s="66">
        <v>0</v>
      </c>
      <c r="O226" s="66">
        <v>0</v>
      </c>
      <c r="P226" s="66">
        <v>-0.317</v>
      </c>
      <c r="Q226" s="66">
        <v>0</v>
      </c>
      <c r="R226" s="66">
        <v>0</v>
      </c>
      <c r="S226" s="66">
        <v>0</v>
      </c>
      <c r="T226" s="66">
        <v>0</v>
      </c>
      <c r="U226" s="66">
        <v>0</v>
      </c>
      <c r="V226" s="66">
        <v>0</v>
      </c>
      <c r="W226" s="66">
        <v>0</v>
      </c>
      <c r="X226" s="66">
        <v>0</v>
      </c>
      <c r="Y226" s="66">
        <v>-0.317</v>
      </c>
      <c r="Z226" s="34"/>
      <c r="AA226" s="66">
        <v>-0.82799999999999996</v>
      </c>
      <c r="AB226" s="60">
        <v>0.51</v>
      </c>
      <c r="AC226" s="34"/>
      <c r="AD226" s="66">
        <v>-0.52800000000000002</v>
      </c>
      <c r="AE226" s="60">
        <v>0.21</v>
      </c>
    </row>
    <row r="227" spans="1:39" ht="18" hidden="1" customHeight="1" outlineLevel="1" x14ac:dyDescent="0.2">
      <c r="A227" s="30" t="s">
        <v>156</v>
      </c>
      <c r="B227" s="30" t="s">
        <v>22</v>
      </c>
      <c r="C227" s="4">
        <v>0.99462365591397839</v>
      </c>
      <c r="D227" s="4">
        <v>-1.015625</v>
      </c>
      <c r="F227" s="38" t="s">
        <v>157</v>
      </c>
      <c r="G227" s="34"/>
      <c r="H227" s="66">
        <v>0</v>
      </c>
      <c r="I227" s="66">
        <v>0</v>
      </c>
      <c r="J227" s="66">
        <v>0</v>
      </c>
      <c r="K227" s="86">
        <v>-0.372</v>
      </c>
      <c r="L227" s="86">
        <v>0.128</v>
      </c>
      <c r="M227" s="66">
        <v>0</v>
      </c>
      <c r="N227" s="66">
        <v>0</v>
      </c>
      <c r="O227" s="66">
        <v>0</v>
      </c>
      <c r="P227" s="66">
        <v>0</v>
      </c>
      <c r="Q227" s="66">
        <v>0</v>
      </c>
      <c r="R227" s="66">
        <v>0</v>
      </c>
      <c r="S227" s="66">
        <v>0</v>
      </c>
      <c r="T227" s="66">
        <v>0</v>
      </c>
      <c r="U227" s="66">
        <v>0</v>
      </c>
      <c r="V227" s="66">
        <v>0</v>
      </c>
      <c r="W227" s="66">
        <v>0</v>
      </c>
      <c r="X227" s="66">
        <v>0</v>
      </c>
      <c r="Y227" s="66">
        <v>0</v>
      </c>
      <c r="Z227" s="34"/>
      <c r="AA227" s="66">
        <v>-0.37200000000000005</v>
      </c>
      <c r="AB227" s="60">
        <v>0.37</v>
      </c>
      <c r="AC227" s="34"/>
      <c r="AD227" s="66">
        <v>0.128</v>
      </c>
      <c r="AE227" s="60">
        <v>-0.13</v>
      </c>
    </row>
    <row r="228" spans="1:39" ht="18" hidden="1" customHeight="1" outlineLevel="1" x14ac:dyDescent="0.2">
      <c r="A228" s="30" t="s">
        <v>160</v>
      </c>
      <c r="B228" s="30" t="s">
        <v>22</v>
      </c>
      <c r="C228" s="4">
        <v>0</v>
      </c>
      <c r="D228" s="4">
        <v>0</v>
      </c>
      <c r="F228" s="38" t="s">
        <v>161</v>
      </c>
      <c r="G228" s="34"/>
      <c r="H228" s="66">
        <v>2.528</v>
      </c>
      <c r="I228" s="66">
        <v>0</v>
      </c>
      <c r="J228" s="66">
        <v>0</v>
      </c>
      <c r="K228" s="86">
        <v>0</v>
      </c>
      <c r="L228" s="86">
        <v>0</v>
      </c>
      <c r="M228" s="66">
        <v>0</v>
      </c>
      <c r="N228" s="66">
        <v>0</v>
      </c>
      <c r="O228" s="66">
        <v>0</v>
      </c>
      <c r="P228" s="66">
        <v>0</v>
      </c>
      <c r="Q228" s="66">
        <v>0</v>
      </c>
      <c r="R228" s="66">
        <v>0</v>
      </c>
      <c r="S228" s="66">
        <v>0</v>
      </c>
      <c r="T228" s="66">
        <v>0</v>
      </c>
      <c r="U228" s="66">
        <v>0</v>
      </c>
      <c r="V228" s="66">
        <v>0</v>
      </c>
      <c r="W228" s="66">
        <v>0</v>
      </c>
      <c r="X228" s="66">
        <v>0</v>
      </c>
      <c r="Y228" s="66">
        <v>0</v>
      </c>
      <c r="Z228" s="34"/>
      <c r="AA228" s="66">
        <v>0</v>
      </c>
      <c r="AB228" s="60">
        <v>0</v>
      </c>
      <c r="AC228" s="34"/>
      <c r="AD228" s="66">
        <v>0</v>
      </c>
      <c r="AE228" s="60">
        <v>0</v>
      </c>
    </row>
    <row r="229" spans="1:39" ht="18" customHeight="1" collapsed="1" x14ac:dyDescent="0.2">
      <c r="A229" s="35"/>
      <c r="B229" s="35"/>
      <c r="C229" s="4">
        <v>0.73333333333333339</v>
      </c>
      <c r="D229" s="4">
        <v>0.19999999999999996</v>
      </c>
      <c r="F229" s="106" t="s">
        <v>378</v>
      </c>
      <c r="H229" s="61">
        <v>2.528</v>
      </c>
      <c r="I229" s="61">
        <v>-4</v>
      </c>
      <c r="J229" s="61">
        <v>-4</v>
      </c>
      <c r="K229" s="86">
        <v>-1.2</v>
      </c>
      <c r="L229" s="86">
        <v>-0.4</v>
      </c>
      <c r="M229" s="61">
        <v>0</v>
      </c>
      <c r="N229" s="61">
        <v>0</v>
      </c>
      <c r="O229" s="61">
        <v>0</v>
      </c>
      <c r="P229" s="61">
        <v>-0.317</v>
      </c>
      <c r="Q229" s="61">
        <v>0</v>
      </c>
      <c r="R229" s="61">
        <v>0</v>
      </c>
      <c r="S229" s="61">
        <v>0</v>
      </c>
      <c r="T229" s="61">
        <v>0</v>
      </c>
      <c r="U229" s="61">
        <v>0</v>
      </c>
      <c r="V229" s="61">
        <v>0</v>
      </c>
      <c r="W229" s="61">
        <v>0</v>
      </c>
      <c r="X229" s="61">
        <v>0</v>
      </c>
      <c r="Y229" s="61">
        <v>-0.317</v>
      </c>
      <c r="AA229" s="61">
        <v>-1.2</v>
      </c>
      <c r="AB229" s="60">
        <v>0.88</v>
      </c>
      <c r="AD229" s="61">
        <v>-0.40000000000000008</v>
      </c>
      <c r="AE229" s="60">
        <v>0.08</v>
      </c>
    </row>
    <row r="230" spans="1:39" ht="18" customHeight="1" x14ac:dyDescent="0.2">
      <c r="A230" s="30" t="s">
        <v>408</v>
      </c>
      <c r="B230" s="30" t="s">
        <v>22</v>
      </c>
      <c r="C230" s="4"/>
      <c r="D230" s="4"/>
      <c r="F230" s="106" t="s">
        <v>409</v>
      </c>
      <c r="H230" s="61">
        <v>-0.14699999999999999</v>
      </c>
      <c r="I230" s="61">
        <v>-0.13200000000000001</v>
      </c>
      <c r="J230" s="61">
        <v>-0.13200000000000001</v>
      </c>
      <c r="K230" s="86">
        <v>0</v>
      </c>
      <c r="L230" s="86">
        <v>0</v>
      </c>
      <c r="M230" s="61">
        <v>0</v>
      </c>
      <c r="N230" s="61">
        <v>-3.1E-2</v>
      </c>
      <c r="O230" s="61">
        <v>0</v>
      </c>
      <c r="P230" s="61">
        <v>0</v>
      </c>
      <c r="Q230" s="61">
        <v>-3.6000000000000004E-2</v>
      </c>
      <c r="R230" s="61">
        <v>0</v>
      </c>
      <c r="S230" s="61">
        <v>0</v>
      </c>
      <c r="T230" s="61">
        <v>-0.03</v>
      </c>
      <c r="U230" s="61">
        <v>0</v>
      </c>
      <c r="V230" s="61">
        <v>0</v>
      </c>
      <c r="W230" s="61">
        <v>-3.6000000000000004E-2</v>
      </c>
      <c r="X230" s="61">
        <v>0</v>
      </c>
      <c r="Y230" s="61">
        <v>-0.13300000000000001</v>
      </c>
      <c r="AA230" s="61">
        <v>0</v>
      </c>
      <c r="AB230" s="60">
        <v>-0.13</v>
      </c>
      <c r="AD230" s="61">
        <v>0</v>
      </c>
      <c r="AE230" s="60">
        <v>-0.13</v>
      </c>
      <c r="AM230"/>
    </row>
    <row r="231" spans="1:39" ht="18" hidden="1" customHeight="1" outlineLevel="1" x14ac:dyDescent="0.2">
      <c r="A231" s="30" t="s">
        <v>148</v>
      </c>
      <c r="B231" s="30" t="s">
        <v>22</v>
      </c>
      <c r="C231" s="4">
        <v>0</v>
      </c>
      <c r="D231" s="4">
        <v>0</v>
      </c>
      <c r="F231" s="38" t="s">
        <v>149</v>
      </c>
      <c r="G231" s="34"/>
      <c r="H231" s="66">
        <v>0</v>
      </c>
      <c r="I231" s="66">
        <v>0</v>
      </c>
      <c r="J231" s="66">
        <v>0</v>
      </c>
      <c r="K231" s="86">
        <v>0</v>
      </c>
      <c r="L231" s="86">
        <v>0</v>
      </c>
      <c r="M231" s="66">
        <v>0</v>
      </c>
      <c r="N231" s="66">
        <v>0</v>
      </c>
      <c r="O231" s="66">
        <v>0</v>
      </c>
      <c r="P231" s="66">
        <v>0</v>
      </c>
      <c r="Q231" s="66">
        <v>0</v>
      </c>
      <c r="R231" s="66">
        <v>0</v>
      </c>
      <c r="S231" s="66">
        <v>0</v>
      </c>
      <c r="T231" s="66">
        <v>0</v>
      </c>
      <c r="U231" s="66">
        <v>0</v>
      </c>
      <c r="V231" s="66">
        <v>0</v>
      </c>
      <c r="W231" s="66">
        <v>0</v>
      </c>
      <c r="X231" s="66">
        <v>0</v>
      </c>
      <c r="Y231" s="66">
        <v>0</v>
      </c>
      <c r="Z231" s="34"/>
      <c r="AA231" s="66">
        <v>0</v>
      </c>
      <c r="AB231" s="60">
        <v>0</v>
      </c>
      <c r="AC231" s="34"/>
      <c r="AD231" s="66">
        <v>0</v>
      </c>
      <c r="AE231" s="60">
        <v>0</v>
      </c>
    </row>
    <row r="232" spans="1:39" ht="18" hidden="1" customHeight="1" outlineLevel="1" x14ac:dyDescent="0.2">
      <c r="A232" s="30" t="s">
        <v>158</v>
      </c>
      <c r="B232" s="30" t="s">
        <v>22</v>
      </c>
      <c r="C232" s="4">
        <v>0.94999999999999984</v>
      </c>
      <c r="D232" s="4">
        <v>-0.97560975609756095</v>
      </c>
      <c r="F232" s="38" t="s">
        <v>159</v>
      </c>
      <c r="G232" s="34"/>
      <c r="H232" s="66">
        <v>-0.112</v>
      </c>
      <c r="I232" s="66">
        <v>-2.5999999999999999E-2</v>
      </c>
      <c r="J232" s="66">
        <v>-2.5999999999999999E-2</v>
      </c>
      <c r="K232" s="86">
        <v>-0.8</v>
      </c>
      <c r="L232" s="86">
        <v>0</v>
      </c>
      <c r="M232" s="66">
        <v>0</v>
      </c>
      <c r="N232" s="66">
        <v>0</v>
      </c>
      <c r="O232" s="66">
        <v>0</v>
      </c>
      <c r="P232" s="66">
        <v>0</v>
      </c>
      <c r="Q232" s="66">
        <v>0</v>
      </c>
      <c r="R232" s="66">
        <v>0</v>
      </c>
      <c r="S232" s="66">
        <v>0</v>
      </c>
      <c r="T232" s="66">
        <v>-2.1999999999999999E-2</v>
      </c>
      <c r="U232" s="66">
        <v>0</v>
      </c>
      <c r="V232" s="66">
        <v>-1.9000000000000003E-2</v>
      </c>
      <c r="W232" s="66">
        <v>0</v>
      </c>
      <c r="X232" s="66">
        <v>0</v>
      </c>
      <c r="Y232" s="66">
        <v>-4.1000000000000002E-2</v>
      </c>
      <c r="Z232" s="34"/>
      <c r="AA232" s="66">
        <v>-0.80000000000000016</v>
      </c>
      <c r="AB232" s="60">
        <v>0.76</v>
      </c>
      <c r="AC232" s="34"/>
      <c r="AD232" s="66">
        <v>0</v>
      </c>
      <c r="AE232" s="60">
        <v>-0.04</v>
      </c>
    </row>
    <row r="233" spans="1:39" ht="18" hidden="1" customHeight="1" outlineLevel="1" x14ac:dyDescent="0.2">
      <c r="A233" s="30" t="s">
        <v>152</v>
      </c>
      <c r="B233" s="30" t="s">
        <v>22</v>
      </c>
      <c r="C233" s="4">
        <v>0</v>
      </c>
      <c r="D233" s="4">
        <v>0</v>
      </c>
      <c r="F233" s="38" t="s">
        <v>153</v>
      </c>
      <c r="G233" s="34"/>
      <c r="H233" s="66">
        <v>0</v>
      </c>
      <c r="I233" s="66">
        <v>0</v>
      </c>
      <c r="J233" s="66">
        <v>0</v>
      </c>
      <c r="K233" s="86">
        <v>0</v>
      </c>
      <c r="L233" s="86">
        <v>0</v>
      </c>
      <c r="M233" s="66">
        <v>0</v>
      </c>
      <c r="N233" s="66">
        <v>0</v>
      </c>
      <c r="O233" s="66">
        <v>0</v>
      </c>
      <c r="P233" s="66">
        <v>0</v>
      </c>
      <c r="Q233" s="66">
        <v>0</v>
      </c>
      <c r="R233" s="66">
        <v>0</v>
      </c>
      <c r="S233" s="66">
        <v>0</v>
      </c>
      <c r="T233" s="66">
        <v>0</v>
      </c>
      <c r="U233" s="66">
        <v>0</v>
      </c>
      <c r="V233" s="66">
        <v>0</v>
      </c>
      <c r="W233" s="66">
        <v>0</v>
      </c>
      <c r="X233" s="66">
        <v>0</v>
      </c>
      <c r="Y233" s="66">
        <v>0</v>
      </c>
      <c r="Z233" s="34"/>
      <c r="AA233" s="66">
        <v>0</v>
      </c>
      <c r="AB233" s="60">
        <v>0</v>
      </c>
      <c r="AC233" s="34"/>
      <c r="AD233" s="66">
        <v>0</v>
      </c>
      <c r="AE233" s="60">
        <v>0</v>
      </c>
    </row>
    <row r="234" spans="1:39" ht="18" hidden="1" customHeight="1" outlineLevel="1" x14ac:dyDescent="0.2">
      <c r="A234" s="30" t="s">
        <v>269</v>
      </c>
      <c r="B234" s="30" t="s">
        <v>22</v>
      </c>
      <c r="C234" s="4">
        <v>0</v>
      </c>
      <c r="D234" s="4">
        <v>0</v>
      </c>
      <c r="F234" s="38" t="s">
        <v>271</v>
      </c>
      <c r="G234" s="34"/>
      <c r="H234" s="66">
        <v>0</v>
      </c>
      <c r="I234" s="66">
        <v>0</v>
      </c>
      <c r="J234" s="66">
        <v>0</v>
      </c>
      <c r="K234" s="86">
        <v>0</v>
      </c>
      <c r="L234" s="86">
        <v>0</v>
      </c>
      <c r="M234" s="66">
        <v>0</v>
      </c>
      <c r="N234" s="66">
        <v>0</v>
      </c>
      <c r="O234" s="66">
        <v>0</v>
      </c>
      <c r="P234" s="66">
        <v>0</v>
      </c>
      <c r="Q234" s="66">
        <v>0</v>
      </c>
      <c r="R234" s="66">
        <v>0</v>
      </c>
      <c r="S234" s="66">
        <v>0</v>
      </c>
      <c r="T234" s="66">
        <v>0</v>
      </c>
      <c r="U234" s="66">
        <v>0</v>
      </c>
      <c r="V234" s="66">
        <v>0</v>
      </c>
      <c r="W234" s="66">
        <v>0</v>
      </c>
      <c r="X234" s="66">
        <v>0</v>
      </c>
      <c r="Y234" s="66">
        <v>0</v>
      </c>
      <c r="Z234" s="34"/>
      <c r="AA234" s="66">
        <v>0</v>
      </c>
      <c r="AB234" s="60">
        <v>0</v>
      </c>
      <c r="AC234" s="34"/>
      <c r="AD234" s="66">
        <v>0</v>
      </c>
      <c r="AE234" s="60">
        <v>0</v>
      </c>
    </row>
    <row r="235" spans="1:39" ht="18" hidden="1" customHeight="1" outlineLevel="1" x14ac:dyDescent="0.2">
      <c r="A235" s="30" t="s">
        <v>270</v>
      </c>
      <c r="B235" s="30" t="s">
        <v>22</v>
      </c>
      <c r="C235" s="4">
        <v>0</v>
      </c>
      <c r="D235" s="4">
        <v>0</v>
      </c>
      <c r="F235" s="38" t="s">
        <v>272</v>
      </c>
      <c r="G235" s="34"/>
      <c r="H235" s="66">
        <v>0</v>
      </c>
      <c r="I235" s="66">
        <v>0</v>
      </c>
      <c r="J235" s="66">
        <v>0</v>
      </c>
      <c r="K235" s="86">
        <v>0</v>
      </c>
      <c r="L235" s="86">
        <v>0</v>
      </c>
      <c r="M235" s="66">
        <v>0</v>
      </c>
      <c r="N235" s="66">
        <v>0</v>
      </c>
      <c r="O235" s="66">
        <v>0</v>
      </c>
      <c r="P235" s="66">
        <v>0</v>
      </c>
      <c r="Q235" s="66">
        <v>0</v>
      </c>
      <c r="R235" s="66">
        <v>0</v>
      </c>
      <c r="S235" s="66">
        <v>0</v>
      </c>
      <c r="T235" s="66">
        <v>0</v>
      </c>
      <c r="U235" s="66">
        <v>0</v>
      </c>
      <c r="V235" s="66">
        <v>0</v>
      </c>
      <c r="W235" s="66">
        <v>0</v>
      </c>
      <c r="X235" s="66">
        <v>0</v>
      </c>
      <c r="Y235" s="66">
        <v>0</v>
      </c>
      <c r="Z235" s="34"/>
      <c r="AA235" s="66">
        <v>0</v>
      </c>
      <c r="AB235" s="60">
        <v>0</v>
      </c>
      <c r="AC235" s="34"/>
      <c r="AD235" s="66">
        <v>0</v>
      </c>
      <c r="AE235" s="60">
        <v>0</v>
      </c>
    </row>
    <row r="236" spans="1:39" ht="18" hidden="1" customHeight="1" outlineLevel="1" x14ac:dyDescent="0.2">
      <c r="A236" s="30" t="s">
        <v>162</v>
      </c>
      <c r="B236" s="30" t="s">
        <v>22</v>
      </c>
      <c r="C236" s="4">
        <v>-0.15151515151515152</v>
      </c>
      <c r="D236" s="4">
        <v>-20.000000000000053</v>
      </c>
      <c r="F236" s="38" t="s">
        <v>163</v>
      </c>
      <c r="G236" s="34"/>
      <c r="H236" s="66">
        <v>-0.75700000000000001</v>
      </c>
      <c r="I236" s="66">
        <v>-0.75700000000000001</v>
      </c>
      <c r="J236" s="66">
        <v>-0.75700000000000001</v>
      </c>
      <c r="K236" s="86">
        <v>-0.66</v>
      </c>
      <c r="L236" s="86">
        <v>3.9999999999999897E-2</v>
      </c>
      <c r="M236" s="66">
        <v>0</v>
      </c>
      <c r="N236" s="66">
        <v>0</v>
      </c>
      <c r="O236" s="66">
        <v>0</v>
      </c>
      <c r="P236" s="66">
        <v>0</v>
      </c>
      <c r="Q236" s="66">
        <v>0</v>
      </c>
      <c r="R236" s="66">
        <v>0</v>
      </c>
      <c r="S236" s="66">
        <v>0</v>
      </c>
      <c r="T236" s="66">
        <v>0</v>
      </c>
      <c r="U236" s="66">
        <v>0</v>
      </c>
      <c r="V236" s="66">
        <v>0</v>
      </c>
      <c r="W236" s="66">
        <v>0</v>
      </c>
      <c r="X236" s="66">
        <v>-0.75700000000000001</v>
      </c>
      <c r="Y236" s="66">
        <v>-0.75700000000000001</v>
      </c>
      <c r="Z236" s="34"/>
      <c r="AA236" s="66">
        <v>-0.66</v>
      </c>
      <c r="AB236" s="60">
        <v>-0.1</v>
      </c>
      <c r="AC236" s="34"/>
      <c r="AD236" s="66">
        <v>3.9999999999999897E-2</v>
      </c>
      <c r="AE236" s="60">
        <v>-0.8</v>
      </c>
    </row>
    <row r="237" spans="1:39" ht="18" hidden="1" customHeight="1" outlineLevel="1" x14ac:dyDescent="0.2">
      <c r="A237" s="30" t="s">
        <v>164</v>
      </c>
      <c r="B237" s="30" t="s">
        <v>22</v>
      </c>
      <c r="C237" s="4">
        <v>0</v>
      </c>
      <c r="D237" s="4">
        <v>0</v>
      </c>
      <c r="F237" s="38" t="s">
        <v>165</v>
      </c>
      <c r="G237" s="34"/>
      <c r="H237" s="66">
        <v>0</v>
      </c>
      <c r="I237" s="66">
        <v>0</v>
      </c>
      <c r="J237" s="66">
        <v>0</v>
      </c>
      <c r="K237" s="86">
        <v>0</v>
      </c>
      <c r="L237" s="8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0</v>
      </c>
      <c r="R237" s="66">
        <v>0</v>
      </c>
      <c r="S237" s="66">
        <v>0</v>
      </c>
      <c r="T237" s="66">
        <v>0</v>
      </c>
      <c r="U237" s="66">
        <v>0</v>
      </c>
      <c r="V237" s="66">
        <v>0</v>
      </c>
      <c r="W237" s="66">
        <v>0</v>
      </c>
      <c r="X237" s="66">
        <v>0</v>
      </c>
      <c r="Y237" s="66">
        <v>0</v>
      </c>
      <c r="Z237" s="34"/>
      <c r="AA237" s="66">
        <v>0</v>
      </c>
      <c r="AB237" s="60">
        <v>0</v>
      </c>
      <c r="AC237" s="34"/>
      <c r="AD237" s="66">
        <v>0</v>
      </c>
      <c r="AE237" s="60">
        <v>0</v>
      </c>
    </row>
    <row r="238" spans="1:39" ht="18" hidden="1" customHeight="1" outlineLevel="1" x14ac:dyDescent="0.2">
      <c r="A238" s="30" t="s">
        <v>166</v>
      </c>
      <c r="B238" s="30" t="s">
        <v>22</v>
      </c>
      <c r="C238" s="4">
        <v>0</v>
      </c>
      <c r="D238" s="4">
        <v>0</v>
      </c>
      <c r="F238" s="38" t="s">
        <v>167</v>
      </c>
      <c r="G238" s="34"/>
      <c r="H238" s="66">
        <v>0</v>
      </c>
      <c r="I238" s="66">
        <v>0</v>
      </c>
      <c r="J238" s="66">
        <v>0</v>
      </c>
      <c r="K238" s="86">
        <v>0</v>
      </c>
      <c r="L238" s="86">
        <v>0</v>
      </c>
      <c r="M238" s="66">
        <v>0</v>
      </c>
      <c r="N238" s="66">
        <v>0</v>
      </c>
      <c r="O238" s="66">
        <v>0</v>
      </c>
      <c r="P238" s="66">
        <v>0</v>
      </c>
      <c r="Q238" s="66">
        <v>0</v>
      </c>
      <c r="R238" s="66">
        <v>0</v>
      </c>
      <c r="S238" s="66">
        <v>0</v>
      </c>
      <c r="T238" s="66">
        <v>0</v>
      </c>
      <c r="U238" s="66">
        <v>0</v>
      </c>
      <c r="V238" s="66">
        <v>0</v>
      </c>
      <c r="W238" s="66">
        <v>0</v>
      </c>
      <c r="X238" s="66">
        <v>0</v>
      </c>
      <c r="Y238" s="66">
        <v>0</v>
      </c>
      <c r="Z238" s="34"/>
      <c r="AA238" s="66">
        <v>0</v>
      </c>
      <c r="AB238" s="60">
        <v>0</v>
      </c>
      <c r="AC238" s="34"/>
      <c r="AD238" s="66">
        <v>0</v>
      </c>
      <c r="AE238" s="60">
        <v>0</v>
      </c>
    </row>
    <row r="239" spans="1:39" ht="18" customHeight="1" collapsed="1" x14ac:dyDescent="0.2">
      <c r="A239" s="35"/>
      <c r="B239" s="35"/>
      <c r="C239" s="4">
        <v>0.45205479452054798</v>
      </c>
      <c r="D239" s="4">
        <v>-21.000000000000053</v>
      </c>
      <c r="F239" s="106" t="s">
        <v>189</v>
      </c>
      <c r="H239" s="61">
        <v>-0.86899999999999999</v>
      </c>
      <c r="I239" s="61">
        <v>-0.78300000000000003</v>
      </c>
      <c r="J239" s="61">
        <v>-0.78300000000000003</v>
      </c>
      <c r="K239" s="86">
        <v>-1.46</v>
      </c>
      <c r="L239" s="86">
        <v>3.9999999999999897E-2</v>
      </c>
      <c r="M239" s="61">
        <v>0</v>
      </c>
      <c r="N239" s="61">
        <v>0</v>
      </c>
      <c r="O239" s="61">
        <v>0</v>
      </c>
      <c r="P239" s="61">
        <v>0</v>
      </c>
      <c r="Q239" s="61">
        <v>0</v>
      </c>
      <c r="R239" s="61">
        <v>0</v>
      </c>
      <c r="S239" s="61">
        <v>0</v>
      </c>
      <c r="T239" s="61">
        <v>-2.1999999999999999E-2</v>
      </c>
      <c r="U239" s="61">
        <v>0</v>
      </c>
      <c r="V239" s="61">
        <v>-1.9000000000000003E-2</v>
      </c>
      <c r="W239" s="61">
        <v>0</v>
      </c>
      <c r="X239" s="61">
        <v>-0.75700000000000001</v>
      </c>
      <c r="Y239" s="61">
        <v>-0.79800000000000004</v>
      </c>
      <c r="AA239" s="61">
        <v>-1.46</v>
      </c>
      <c r="AB239" s="60">
        <v>0.66</v>
      </c>
      <c r="AD239" s="61">
        <v>3.9999999999999897E-2</v>
      </c>
      <c r="AE239" s="60">
        <v>-0.84</v>
      </c>
    </row>
    <row r="240" spans="1:39" ht="18" customHeight="1" x14ac:dyDescent="0.2">
      <c r="A240" s="35"/>
      <c r="B240" s="35"/>
      <c r="C240" s="4">
        <v>-4.4424700133274091E-3</v>
      </c>
      <c r="D240" s="4">
        <v>1.201660476294516E-2</v>
      </c>
      <c r="F240" s="95" t="s">
        <v>65</v>
      </c>
      <c r="H240" s="195">
        <v>-15.880999999999997</v>
      </c>
      <c r="I240" s="195">
        <v>-25.245000000000005</v>
      </c>
      <c r="J240" s="64">
        <v>-25.245000000000005</v>
      </c>
      <c r="K240" s="89">
        <v>-18.008000000000003</v>
      </c>
      <c r="L240" s="89">
        <v>-18.308</v>
      </c>
      <c r="M240" s="64">
        <v>-2.5060000000000002</v>
      </c>
      <c r="N240" s="64">
        <v>-1.1209999999999998</v>
      </c>
      <c r="O240" s="64">
        <v>-0.92500000000000016</v>
      </c>
      <c r="P240" s="64">
        <v>-1.6489999999999998</v>
      </c>
      <c r="Q240" s="64">
        <v>-2.8819999999999997</v>
      </c>
      <c r="R240" s="64">
        <v>-0.85500000000000076</v>
      </c>
      <c r="S240" s="64">
        <v>-2.9049999999999994</v>
      </c>
      <c r="T240" s="64">
        <v>-0.79599999999999982</v>
      </c>
      <c r="U240" s="64">
        <v>0.33699999999999963</v>
      </c>
      <c r="V240" s="64">
        <v>-1.5479999999999998</v>
      </c>
      <c r="W240" s="64">
        <v>-1.3070000000000004</v>
      </c>
      <c r="X240" s="64">
        <v>-1.927999999999999</v>
      </c>
      <c r="Y240" s="64">
        <v>-18.084999999999997</v>
      </c>
      <c r="AA240" s="64">
        <v>-18.008000000000003</v>
      </c>
      <c r="AB240" s="60">
        <v>-0.08</v>
      </c>
      <c r="AD240" s="64">
        <v>-18.308</v>
      </c>
      <c r="AE240" s="60">
        <v>0.22</v>
      </c>
    </row>
    <row r="241" spans="1:31" ht="12.95" customHeight="1" x14ac:dyDescent="0.2">
      <c r="A241" s="35"/>
      <c r="B241" s="35"/>
      <c r="C241" s="4"/>
      <c r="D241" s="4"/>
      <c r="F241" s="39" t="s">
        <v>223</v>
      </c>
      <c r="H241" s="56">
        <v>2.8115408964922389E-3</v>
      </c>
      <c r="I241" s="56">
        <v>4.1681622738468588E-3</v>
      </c>
      <c r="J241" s="56">
        <v>4.1681622738468588E-3</v>
      </c>
      <c r="K241" s="109">
        <v>2.7685967820443406E-3</v>
      </c>
      <c r="L241" s="109">
        <v>2.7162491430121199E-3</v>
      </c>
      <c r="M241" s="56">
        <v>5.3440128290427697E-3</v>
      </c>
      <c r="N241" s="56">
        <v>2.2241048523579275E-3</v>
      </c>
      <c r="O241" s="56">
        <v>1.7883519321934284E-3</v>
      </c>
      <c r="P241" s="56">
        <v>2.8125772861784595E-3</v>
      </c>
      <c r="Q241" s="56">
        <v>4.6520186726412213E-3</v>
      </c>
      <c r="R241" s="56">
        <v>1.4605847122050235E-3</v>
      </c>
      <c r="S241" s="56">
        <v>5.2232982476328824E-3</v>
      </c>
      <c r="T241" s="56">
        <v>1.4317499545833091E-3</v>
      </c>
      <c r="U241" s="56">
        <v>-5.7468716213681227E-4</v>
      </c>
      <c r="V241" s="56">
        <v>2.4447792591750276E-3</v>
      </c>
      <c r="W241" s="56">
        <v>2.2174303256925045E-3</v>
      </c>
      <c r="X241" s="56">
        <v>3.1785389272101371E-3</v>
      </c>
      <c r="Y241" s="56">
        <v>2.656006805016937E-3</v>
      </c>
      <c r="AA241" s="56">
        <v>2.7685967820443406E-3</v>
      </c>
      <c r="AB241" s="57"/>
      <c r="AD241" s="56">
        <v>2.7162491430121199E-3</v>
      </c>
      <c r="AE241" s="57"/>
    </row>
    <row r="242" spans="1:31" ht="6.95" customHeight="1" x14ac:dyDescent="0.2">
      <c r="C242" s="4"/>
      <c r="D242" s="4"/>
      <c r="F242" s="96"/>
      <c r="H242" s="16"/>
      <c r="I242" s="16"/>
      <c r="J242" s="16"/>
      <c r="K242" s="85"/>
      <c r="L242" s="85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AA242" s="16"/>
      <c r="AB242" s="20"/>
      <c r="AD242" s="16"/>
      <c r="AE242" s="20"/>
    </row>
    <row r="243" spans="1:31" ht="18" hidden="1" customHeight="1" outlineLevel="1" collapsed="1" x14ac:dyDescent="0.2">
      <c r="A243" s="35"/>
      <c r="B243" s="35"/>
      <c r="C243" s="4"/>
      <c r="D243" s="4"/>
      <c r="F243" s="97" t="s">
        <v>249</v>
      </c>
      <c r="H243" s="74">
        <v>0.38671428571428573</v>
      </c>
      <c r="I243" s="74">
        <v>0.58128571428571429</v>
      </c>
      <c r="J243" s="74">
        <v>0.58128571428571429</v>
      </c>
      <c r="K243" s="112">
        <v>0.45714285714285713</v>
      </c>
      <c r="L243" s="112">
        <v>0.25714285714285712</v>
      </c>
      <c r="M243" s="74">
        <v>0.31954285714285713</v>
      </c>
      <c r="N243" s="74">
        <v>0.14297142857142855</v>
      </c>
      <c r="O243" s="74">
        <v>0.46902857142857146</v>
      </c>
      <c r="P243" s="74">
        <v>0.46422857142857132</v>
      </c>
      <c r="Q243" s="74">
        <v>0.14605714285714291</v>
      </c>
      <c r="R243" s="74">
        <v>0.33942857142857152</v>
      </c>
      <c r="S243" s="74">
        <v>9.2228571428571479E-2</v>
      </c>
      <c r="T243" s="74">
        <v>7.2342857142856945E-2</v>
      </c>
      <c r="U243" s="74">
        <v>0.12960000000000005</v>
      </c>
      <c r="V243" s="74">
        <v>0.2928</v>
      </c>
      <c r="W243" s="74">
        <v>0.32434285714285704</v>
      </c>
      <c r="X243" s="74">
        <v>0.3161142857142859</v>
      </c>
      <c r="Y243" s="74">
        <v>0.25905714285714287</v>
      </c>
      <c r="AA243" s="74">
        <v>0.45714285714285713</v>
      </c>
      <c r="AB243" s="73">
        <v>-0.2</v>
      </c>
      <c r="AD243" s="74">
        <v>0.25714285714285712</v>
      </c>
      <c r="AE243" s="73">
        <v>0</v>
      </c>
    </row>
    <row r="244" spans="1:31" ht="18" hidden="1" customHeight="1" outlineLevel="1" x14ac:dyDescent="0.2">
      <c r="A244" s="30" t="s">
        <v>79</v>
      </c>
      <c r="B244" s="30" t="s">
        <v>22</v>
      </c>
      <c r="C244" s="4">
        <v>0.43312499999999998</v>
      </c>
      <c r="D244" s="4">
        <v>-7.7777777777777784E-3</v>
      </c>
      <c r="F244" s="106" t="s">
        <v>83</v>
      </c>
      <c r="H244" s="61">
        <v>-13.535</v>
      </c>
      <c r="I244" s="61">
        <v>-20.344999999999999</v>
      </c>
      <c r="J244" s="61">
        <v>-20.344999999999999</v>
      </c>
      <c r="K244" s="86">
        <v>-16</v>
      </c>
      <c r="L244" s="86">
        <v>-9</v>
      </c>
      <c r="M244" s="61">
        <v>-0.93200000000000005</v>
      </c>
      <c r="N244" s="61">
        <v>-0.41699999999999993</v>
      </c>
      <c r="O244" s="61">
        <v>-1.3680000000000001</v>
      </c>
      <c r="P244" s="61">
        <v>-1.3539999999999996</v>
      </c>
      <c r="Q244" s="61">
        <v>-0.42600000000000016</v>
      </c>
      <c r="R244" s="61">
        <v>-0.99000000000000021</v>
      </c>
      <c r="S244" s="61">
        <v>-0.26900000000000013</v>
      </c>
      <c r="T244" s="61">
        <v>-0.21099999999999941</v>
      </c>
      <c r="U244" s="61">
        <v>-0.37800000000000011</v>
      </c>
      <c r="V244" s="61">
        <v>-0.85400000000000009</v>
      </c>
      <c r="W244" s="61">
        <v>-0.94599999999999973</v>
      </c>
      <c r="X244" s="61">
        <v>-0.9220000000000006</v>
      </c>
      <c r="Y244" s="61">
        <v>-9.0670000000000002</v>
      </c>
      <c r="AA244" s="61">
        <v>-16</v>
      </c>
      <c r="AB244" s="60">
        <v>6.93</v>
      </c>
      <c r="AD244" s="61">
        <v>-9</v>
      </c>
      <c r="AE244" s="60">
        <v>-7.0000000000000007E-2</v>
      </c>
    </row>
    <row r="245" spans="1:31" ht="18" hidden="1" customHeight="1" outlineLevel="1" x14ac:dyDescent="0.2">
      <c r="A245" s="30" t="s">
        <v>80</v>
      </c>
      <c r="B245" s="30" t="s">
        <v>22</v>
      </c>
      <c r="C245" s="4">
        <v>0</v>
      </c>
      <c r="D245" s="4">
        <v>0</v>
      </c>
      <c r="F245" s="106" t="s">
        <v>84</v>
      </c>
      <c r="H245" s="61">
        <v>0</v>
      </c>
      <c r="I245" s="61">
        <v>-2.8000000000000001E-2</v>
      </c>
      <c r="J245" s="61">
        <v>-2.8000000000000001E-2</v>
      </c>
      <c r="K245" s="86">
        <v>0</v>
      </c>
      <c r="L245" s="86">
        <v>0</v>
      </c>
      <c r="M245" s="61">
        <v>0</v>
      </c>
      <c r="N245" s="61">
        <v>0</v>
      </c>
      <c r="O245" s="61">
        <v>0</v>
      </c>
      <c r="P245" s="61">
        <v>0</v>
      </c>
      <c r="Q245" s="61">
        <v>0</v>
      </c>
      <c r="R245" s="61">
        <v>0</v>
      </c>
      <c r="S245" s="61">
        <v>0</v>
      </c>
      <c r="T245" s="61">
        <v>0</v>
      </c>
      <c r="U245" s="61">
        <v>0</v>
      </c>
      <c r="V245" s="61">
        <v>0</v>
      </c>
      <c r="W245" s="61">
        <v>0</v>
      </c>
      <c r="X245" s="61">
        <v>0</v>
      </c>
      <c r="Y245" s="61">
        <v>0</v>
      </c>
      <c r="AA245" s="61">
        <v>0</v>
      </c>
      <c r="AB245" s="60">
        <v>0</v>
      </c>
      <c r="AD245" s="61">
        <v>0</v>
      </c>
      <c r="AE245" s="60">
        <v>0</v>
      </c>
    </row>
    <row r="246" spans="1:31" ht="18" hidden="1" customHeight="1" outlineLevel="1" x14ac:dyDescent="0.2">
      <c r="A246" s="30" t="s">
        <v>81</v>
      </c>
      <c r="B246" s="30" t="s">
        <v>22</v>
      </c>
      <c r="C246" s="4">
        <v>0</v>
      </c>
      <c r="D246" s="4">
        <v>0</v>
      </c>
      <c r="F246" s="106" t="s">
        <v>85</v>
      </c>
      <c r="H246" s="61">
        <v>-2.1999999999999999E-2</v>
      </c>
      <c r="I246" s="61">
        <v>-1.7999999999999999E-2</v>
      </c>
      <c r="J246" s="61">
        <v>-1.7999999999999999E-2</v>
      </c>
      <c r="K246" s="86">
        <v>0</v>
      </c>
      <c r="L246" s="86">
        <v>0</v>
      </c>
      <c r="M246" s="61">
        <v>0</v>
      </c>
      <c r="N246" s="61">
        <v>0</v>
      </c>
      <c r="O246" s="61">
        <v>0</v>
      </c>
      <c r="P246" s="61">
        <v>0</v>
      </c>
      <c r="Q246" s="61">
        <v>0</v>
      </c>
      <c r="R246" s="61">
        <v>0</v>
      </c>
      <c r="S246" s="61">
        <v>0</v>
      </c>
      <c r="T246" s="61">
        <v>0</v>
      </c>
      <c r="U246" s="61">
        <v>0</v>
      </c>
      <c r="V246" s="61">
        <v>0</v>
      </c>
      <c r="W246" s="61">
        <v>0</v>
      </c>
      <c r="X246" s="61">
        <v>0</v>
      </c>
      <c r="Y246" s="61">
        <v>0</v>
      </c>
      <c r="AA246" s="61">
        <v>0</v>
      </c>
      <c r="AB246" s="60">
        <v>0</v>
      </c>
      <c r="AD246" s="61">
        <v>0</v>
      </c>
      <c r="AE246" s="60">
        <v>0</v>
      </c>
    </row>
    <row r="247" spans="1:31" ht="18" hidden="1" customHeight="1" outlineLevel="1" x14ac:dyDescent="0.2">
      <c r="A247" s="30" t="s">
        <v>140</v>
      </c>
      <c r="B247" s="30" t="s">
        <v>22</v>
      </c>
      <c r="C247" s="4">
        <v>0</v>
      </c>
      <c r="D247" s="4">
        <v>0</v>
      </c>
      <c r="F247" s="106" t="s">
        <v>141</v>
      </c>
      <c r="H247" s="61">
        <v>0</v>
      </c>
      <c r="I247" s="61">
        <v>0</v>
      </c>
      <c r="J247" s="61">
        <v>0</v>
      </c>
      <c r="K247" s="86">
        <v>0</v>
      </c>
      <c r="L247" s="86">
        <v>0</v>
      </c>
      <c r="M247" s="61">
        <v>0</v>
      </c>
      <c r="N247" s="61">
        <v>0</v>
      </c>
      <c r="O247" s="61">
        <v>0</v>
      </c>
      <c r="P247" s="61">
        <v>0</v>
      </c>
      <c r="Q247" s="61">
        <v>0</v>
      </c>
      <c r="R247" s="61">
        <v>0</v>
      </c>
      <c r="S247" s="61">
        <v>0</v>
      </c>
      <c r="T247" s="61">
        <v>0</v>
      </c>
      <c r="U247" s="61">
        <v>0</v>
      </c>
      <c r="V247" s="61">
        <v>0</v>
      </c>
      <c r="W247" s="61">
        <v>0</v>
      </c>
      <c r="X247" s="61">
        <v>0</v>
      </c>
      <c r="Y247" s="61">
        <v>0</v>
      </c>
      <c r="AA247" s="61">
        <v>0</v>
      </c>
      <c r="AB247" s="60">
        <v>0</v>
      </c>
      <c r="AD247" s="61">
        <v>0</v>
      </c>
      <c r="AE247" s="60">
        <v>0</v>
      </c>
    </row>
    <row r="248" spans="1:31" ht="18" hidden="1" customHeight="1" outlineLevel="1" x14ac:dyDescent="0.2">
      <c r="A248" s="30" t="s">
        <v>123</v>
      </c>
      <c r="B248" s="30" t="s">
        <v>22</v>
      </c>
      <c r="C248" s="4">
        <v>0</v>
      </c>
      <c r="D248" s="4">
        <v>0</v>
      </c>
      <c r="F248" s="106" t="s">
        <v>142</v>
      </c>
      <c r="H248" s="61">
        <v>0</v>
      </c>
      <c r="I248" s="61">
        <v>0</v>
      </c>
      <c r="J248" s="61">
        <v>0</v>
      </c>
      <c r="K248" s="86">
        <v>0</v>
      </c>
      <c r="L248" s="86">
        <v>0</v>
      </c>
      <c r="M248" s="61">
        <v>0</v>
      </c>
      <c r="N248" s="61">
        <v>0</v>
      </c>
      <c r="O248" s="61">
        <v>0</v>
      </c>
      <c r="P248" s="61">
        <v>0</v>
      </c>
      <c r="Q248" s="61">
        <v>0</v>
      </c>
      <c r="R248" s="61">
        <v>0</v>
      </c>
      <c r="S248" s="61">
        <v>0</v>
      </c>
      <c r="T248" s="61">
        <v>0</v>
      </c>
      <c r="U248" s="61">
        <v>0</v>
      </c>
      <c r="V248" s="61">
        <v>0</v>
      </c>
      <c r="W248" s="61">
        <v>0</v>
      </c>
      <c r="X248" s="61">
        <v>0</v>
      </c>
      <c r="Y248" s="61">
        <v>0</v>
      </c>
      <c r="AA248" s="61">
        <v>0</v>
      </c>
      <c r="AB248" s="60">
        <v>0</v>
      </c>
      <c r="AD248" s="61">
        <v>0</v>
      </c>
      <c r="AE248" s="60">
        <v>0</v>
      </c>
    </row>
    <row r="249" spans="1:31" ht="18" hidden="1" customHeight="1" outlineLevel="1" x14ac:dyDescent="0.2">
      <c r="A249" s="30" t="s">
        <v>124</v>
      </c>
      <c r="B249" s="30" t="s">
        <v>22</v>
      </c>
      <c r="C249" s="4">
        <v>0</v>
      </c>
      <c r="D249" s="4">
        <v>0</v>
      </c>
      <c r="F249" s="106" t="s">
        <v>143</v>
      </c>
      <c r="H249" s="61">
        <v>0</v>
      </c>
      <c r="I249" s="61">
        <v>0</v>
      </c>
      <c r="J249" s="61">
        <v>0</v>
      </c>
      <c r="K249" s="86">
        <v>0</v>
      </c>
      <c r="L249" s="86">
        <v>0</v>
      </c>
      <c r="M249" s="61">
        <v>0</v>
      </c>
      <c r="N249" s="61">
        <v>0</v>
      </c>
      <c r="O249" s="61">
        <v>0</v>
      </c>
      <c r="P249" s="61">
        <v>0</v>
      </c>
      <c r="Q249" s="61">
        <v>0</v>
      </c>
      <c r="R249" s="61">
        <v>0</v>
      </c>
      <c r="S249" s="61">
        <v>0</v>
      </c>
      <c r="T249" s="61">
        <v>0</v>
      </c>
      <c r="U249" s="61">
        <v>0</v>
      </c>
      <c r="V249" s="61">
        <v>0</v>
      </c>
      <c r="W249" s="61">
        <v>0</v>
      </c>
      <c r="X249" s="61">
        <v>0</v>
      </c>
      <c r="Y249" s="61">
        <v>0</v>
      </c>
      <c r="AA249" s="61">
        <v>0</v>
      </c>
      <c r="AB249" s="60">
        <v>0</v>
      </c>
      <c r="AD249" s="61">
        <v>0</v>
      </c>
      <c r="AE249" s="60">
        <v>0</v>
      </c>
    </row>
    <row r="250" spans="1:31" ht="18" hidden="1" customHeight="1" outlineLevel="1" x14ac:dyDescent="0.2">
      <c r="A250" s="30" t="s">
        <v>204</v>
      </c>
      <c r="B250" s="30" t="s">
        <v>22</v>
      </c>
      <c r="C250" s="4">
        <v>0</v>
      </c>
      <c r="D250" s="4">
        <v>0</v>
      </c>
      <c r="F250" s="104" t="s">
        <v>139</v>
      </c>
      <c r="G250" s="36"/>
      <c r="H250" s="65">
        <v>0</v>
      </c>
      <c r="I250" s="65">
        <v>0</v>
      </c>
      <c r="J250" s="65">
        <v>0</v>
      </c>
      <c r="K250" s="90">
        <v>0</v>
      </c>
      <c r="L250" s="90">
        <v>0</v>
      </c>
      <c r="M250" s="65">
        <v>0</v>
      </c>
      <c r="N250" s="65">
        <v>0</v>
      </c>
      <c r="O250" s="65">
        <v>0</v>
      </c>
      <c r="P250" s="65">
        <v>0</v>
      </c>
      <c r="Q250" s="65">
        <v>0</v>
      </c>
      <c r="R250" s="65">
        <v>0</v>
      </c>
      <c r="S250" s="65">
        <v>0</v>
      </c>
      <c r="T250" s="65">
        <v>0</v>
      </c>
      <c r="U250" s="65">
        <v>0</v>
      </c>
      <c r="V250" s="65">
        <v>0</v>
      </c>
      <c r="W250" s="65">
        <v>0</v>
      </c>
      <c r="X250" s="65">
        <v>0</v>
      </c>
      <c r="Y250" s="65">
        <v>0</v>
      </c>
      <c r="Z250" s="36"/>
      <c r="AA250" s="65">
        <v>0</v>
      </c>
      <c r="AB250" s="60">
        <v>0</v>
      </c>
      <c r="AC250" s="36"/>
      <c r="AD250" s="65">
        <v>0</v>
      </c>
      <c r="AE250" s="60">
        <v>0</v>
      </c>
    </row>
    <row r="251" spans="1:31" ht="18" hidden="1" customHeight="1" outlineLevel="1" x14ac:dyDescent="0.2">
      <c r="A251" s="30" t="s">
        <v>82</v>
      </c>
      <c r="B251" s="30" t="s">
        <v>22</v>
      </c>
      <c r="C251" s="4">
        <v>0</v>
      </c>
      <c r="D251" s="4">
        <v>0</v>
      </c>
      <c r="F251" s="106" t="s">
        <v>86</v>
      </c>
      <c r="H251" s="61">
        <v>-0.56200000000000006</v>
      </c>
      <c r="I251" s="61">
        <v>-2.5000000000000001E-2</v>
      </c>
      <c r="J251" s="61">
        <v>-2.5000000000000001E-2</v>
      </c>
      <c r="K251" s="86">
        <v>0</v>
      </c>
      <c r="L251" s="86">
        <v>0</v>
      </c>
      <c r="M251" s="61">
        <v>0</v>
      </c>
      <c r="N251" s="61">
        <v>0</v>
      </c>
      <c r="O251" s="61">
        <v>0</v>
      </c>
      <c r="P251" s="61">
        <v>0</v>
      </c>
      <c r="Q251" s="61">
        <v>0</v>
      </c>
      <c r="R251" s="61">
        <v>0</v>
      </c>
      <c r="S251" s="61">
        <v>0</v>
      </c>
      <c r="T251" s="61">
        <v>0</v>
      </c>
      <c r="U251" s="61">
        <v>0</v>
      </c>
      <c r="V251" s="61">
        <v>0</v>
      </c>
      <c r="W251" s="61">
        <v>0</v>
      </c>
      <c r="X251" s="61">
        <v>0</v>
      </c>
      <c r="Y251" s="61">
        <v>0</v>
      </c>
      <c r="AA251" s="61">
        <v>0</v>
      </c>
      <c r="AB251" s="60">
        <v>0</v>
      </c>
      <c r="AD251" s="61">
        <v>0</v>
      </c>
      <c r="AE251" s="60">
        <v>0</v>
      </c>
    </row>
    <row r="252" spans="1:31" ht="18" hidden="1" customHeight="1" outlineLevel="1" x14ac:dyDescent="0.2">
      <c r="A252" s="30" t="s">
        <v>144</v>
      </c>
      <c r="B252" s="30" t="s">
        <v>22</v>
      </c>
      <c r="C252" s="4">
        <v>0</v>
      </c>
      <c r="D252" s="4">
        <v>0</v>
      </c>
      <c r="F252" s="106" t="s">
        <v>145</v>
      </c>
      <c r="H252" s="61">
        <v>0</v>
      </c>
      <c r="I252" s="61">
        <v>0</v>
      </c>
      <c r="J252" s="61">
        <v>0</v>
      </c>
      <c r="K252" s="86">
        <v>0</v>
      </c>
      <c r="L252" s="86">
        <v>0</v>
      </c>
      <c r="M252" s="61">
        <v>0</v>
      </c>
      <c r="N252" s="61">
        <v>0</v>
      </c>
      <c r="O252" s="61">
        <v>0</v>
      </c>
      <c r="P252" s="61">
        <v>0</v>
      </c>
      <c r="Q252" s="61">
        <v>0</v>
      </c>
      <c r="R252" s="61">
        <v>0</v>
      </c>
      <c r="S252" s="61">
        <v>0</v>
      </c>
      <c r="T252" s="61">
        <v>0</v>
      </c>
      <c r="U252" s="61">
        <v>0</v>
      </c>
      <c r="V252" s="61">
        <v>0</v>
      </c>
      <c r="W252" s="61">
        <v>0</v>
      </c>
      <c r="X252" s="61">
        <v>0</v>
      </c>
      <c r="Y252" s="61">
        <v>0</v>
      </c>
      <c r="AA252" s="61">
        <v>0</v>
      </c>
      <c r="AB252" s="60">
        <v>0</v>
      </c>
      <c r="AD252" s="61">
        <v>0</v>
      </c>
      <c r="AE252" s="60">
        <v>0</v>
      </c>
    </row>
    <row r="253" spans="1:31" ht="18" customHeight="1" collapsed="1" x14ac:dyDescent="0.2">
      <c r="A253" s="35"/>
      <c r="B253" s="35"/>
      <c r="C253" s="4">
        <v>0.43312499999999998</v>
      </c>
      <c r="D253" s="4">
        <v>-7.7777777777777784E-3</v>
      </c>
      <c r="F253" s="95" t="s">
        <v>276</v>
      </c>
      <c r="H253" s="64">
        <v>-14.119</v>
      </c>
      <c r="I253" s="64">
        <v>-20.415999999999997</v>
      </c>
      <c r="J253" s="64">
        <v>-20.415999999999997</v>
      </c>
      <c r="K253" s="89">
        <v>-16</v>
      </c>
      <c r="L253" s="89">
        <v>-9</v>
      </c>
      <c r="M253" s="64">
        <v>-0.93200000000000005</v>
      </c>
      <c r="N253" s="64">
        <v>-0.41699999999999993</v>
      </c>
      <c r="O253" s="64">
        <v>-1.3680000000000001</v>
      </c>
      <c r="P253" s="64">
        <v>-1.3539999999999996</v>
      </c>
      <c r="Q253" s="64">
        <v>-0.42600000000000016</v>
      </c>
      <c r="R253" s="64">
        <v>-0.99000000000000021</v>
      </c>
      <c r="S253" s="64">
        <v>-0.26900000000000013</v>
      </c>
      <c r="T253" s="64">
        <v>-0.21099999999999941</v>
      </c>
      <c r="U253" s="64">
        <v>-0.37800000000000011</v>
      </c>
      <c r="V253" s="64">
        <v>-0.85400000000000009</v>
      </c>
      <c r="W253" s="64">
        <v>-0.94599999999999973</v>
      </c>
      <c r="X253" s="64">
        <v>-0.9220000000000006</v>
      </c>
      <c r="Y253" s="64">
        <v>-9.0670000000000002</v>
      </c>
      <c r="AA253" s="64">
        <v>-16</v>
      </c>
      <c r="AB253" s="60">
        <v>6.93</v>
      </c>
      <c r="AD253" s="64">
        <v>-9</v>
      </c>
      <c r="AE253" s="60">
        <v>-7.0000000000000007E-2</v>
      </c>
    </row>
    <row r="254" spans="1:31" ht="12.95" customHeight="1" x14ac:dyDescent="0.2">
      <c r="A254" s="35"/>
      <c r="B254" s="35"/>
      <c r="C254" s="4"/>
      <c r="D254" s="4"/>
      <c r="F254" s="39" t="s">
        <v>223</v>
      </c>
      <c r="H254" s="56">
        <v>2.499599894060445E-3</v>
      </c>
      <c r="I254" s="56">
        <v>3.3708536733158025E-3</v>
      </c>
      <c r="J254" s="56">
        <v>3.3708536733158025E-3</v>
      </c>
      <c r="K254" s="109">
        <v>2.459881636645349E-3</v>
      </c>
      <c r="L254" s="109">
        <v>1.3352765068335743E-3</v>
      </c>
      <c r="M254" s="56">
        <v>1.9874780353822271E-3</v>
      </c>
      <c r="N254" s="56">
        <v>8.2734319663983573E-4</v>
      </c>
      <c r="O254" s="56">
        <v>2.6448275062060647E-3</v>
      </c>
      <c r="P254" s="56">
        <v>2.3094176139997779E-3</v>
      </c>
      <c r="Q254" s="56">
        <v>6.8763357201428218E-4</v>
      </c>
      <c r="R254" s="56">
        <v>1.6912033509742365E-3</v>
      </c>
      <c r="S254" s="56">
        <v>4.836720236190177E-4</v>
      </c>
      <c r="T254" s="56">
        <v>3.7952165881542389E-4</v>
      </c>
      <c r="U254" s="56">
        <v>6.446045913582058E-4</v>
      </c>
      <c r="V254" s="56">
        <v>1.3487348109402287E-3</v>
      </c>
      <c r="W254" s="56">
        <v>1.6049648723068923E-3</v>
      </c>
      <c r="X254" s="56">
        <v>1.5200274330330651E-3</v>
      </c>
      <c r="Y254" s="56">
        <v>1.3316015317162606E-3</v>
      </c>
      <c r="AA254" s="56">
        <v>2.459881636645349E-3</v>
      </c>
      <c r="AB254" s="57"/>
      <c r="AD254" s="56">
        <v>1.3352765068335743E-3</v>
      </c>
      <c r="AE254" s="57"/>
    </row>
    <row r="255" spans="1:31" ht="6.95" customHeight="1" x14ac:dyDescent="0.2">
      <c r="C255" s="4"/>
      <c r="D255" s="4"/>
      <c r="F255" s="96"/>
      <c r="H255" s="53"/>
      <c r="I255" s="53"/>
      <c r="J255" s="53"/>
      <c r="K255" s="115"/>
      <c r="L255" s="115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AA255" s="53"/>
      <c r="AD255" s="53"/>
    </row>
    <row r="256" spans="1:31" ht="18" customHeight="1" x14ac:dyDescent="0.2">
      <c r="A256" s="30" t="s">
        <v>73</v>
      </c>
      <c r="B256" s="30" t="s">
        <v>22</v>
      </c>
      <c r="C256" s="4">
        <v>0.47947368421052627</v>
      </c>
      <c r="D256" s="4">
        <v>0.17583333333333331</v>
      </c>
      <c r="F256" s="106" t="s">
        <v>72</v>
      </c>
      <c r="H256" s="61">
        <v>-8.9030000000000005</v>
      </c>
      <c r="I256" s="61">
        <v>-11.016999999999999</v>
      </c>
      <c r="J256" s="61">
        <v>-11.016999999999999</v>
      </c>
      <c r="K256" s="86">
        <v>-19</v>
      </c>
      <c r="L256" s="86">
        <v>-12</v>
      </c>
      <c r="M256" s="61">
        <v>-1.4570000000000001</v>
      </c>
      <c r="N256" s="61">
        <v>-1.8989999999999998</v>
      </c>
      <c r="O256" s="61">
        <v>-2.0590000000000002</v>
      </c>
      <c r="P256" s="61">
        <v>-1.0860000000000003</v>
      </c>
      <c r="Q256" s="61">
        <v>-8.4999999999999964E-2</v>
      </c>
      <c r="R256" s="61">
        <v>-0.5129999999999999</v>
      </c>
      <c r="S256" s="61">
        <v>-0.19700000000000006</v>
      </c>
      <c r="T256" s="61">
        <v>-0.39699999999999935</v>
      </c>
      <c r="U256" s="61">
        <v>-0.3490000000000002</v>
      </c>
      <c r="V256" s="61">
        <v>-0.46400000000000041</v>
      </c>
      <c r="W256" s="61">
        <v>-0.86399999999999899</v>
      </c>
      <c r="X256" s="61">
        <v>-0.5210000000000008</v>
      </c>
      <c r="Y256" s="61">
        <v>-9.891</v>
      </c>
      <c r="AA256" s="61">
        <v>-19</v>
      </c>
      <c r="AB256" s="60">
        <v>9.11</v>
      </c>
      <c r="AD256" s="61">
        <v>-12</v>
      </c>
      <c r="AE256" s="60">
        <v>2.11</v>
      </c>
    </row>
    <row r="257" spans="1:31" ht="18" customHeight="1" x14ac:dyDescent="0.2">
      <c r="A257" s="30" t="s">
        <v>129</v>
      </c>
      <c r="B257" s="30" t="s">
        <v>22</v>
      </c>
      <c r="C257" s="4">
        <v>-0.25111111111111106</v>
      </c>
      <c r="D257" s="4">
        <v>-0.25111111111111106</v>
      </c>
      <c r="F257" s="106" t="s">
        <v>190</v>
      </c>
      <c r="H257" s="61">
        <v>-3.6920000000000002</v>
      </c>
      <c r="I257" s="61">
        <v>-6.4180000000000001</v>
      </c>
      <c r="J257" s="61">
        <v>-6.4180000000000001</v>
      </c>
      <c r="K257" s="86">
        <v>-9</v>
      </c>
      <c r="L257" s="86">
        <v>-9</v>
      </c>
      <c r="M257" s="61">
        <v>-3.0070000000000001</v>
      </c>
      <c r="N257" s="61">
        <v>-0.66500000000000004</v>
      </c>
      <c r="O257" s="61">
        <v>-0.81199999999999983</v>
      </c>
      <c r="P257" s="61">
        <v>-1.5339999999999998</v>
      </c>
      <c r="Q257" s="61">
        <v>-2.7000000000000135E-2</v>
      </c>
      <c r="R257" s="61">
        <v>0</v>
      </c>
      <c r="S257" s="61">
        <v>-0.12999999999999989</v>
      </c>
      <c r="T257" s="61">
        <v>-0.59799999999999986</v>
      </c>
      <c r="U257" s="61">
        <v>-0.18599999999999994</v>
      </c>
      <c r="V257" s="61">
        <v>-1.1020000000000003</v>
      </c>
      <c r="W257" s="61">
        <v>-1.2370000000000001</v>
      </c>
      <c r="X257" s="61">
        <v>-1.9599999999999991</v>
      </c>
      <c r="Y257" s="61">
        <v>-11.257999999999999</v>
      </c>
      <c r="AA257" s="61">
        <v>-9</v>
      </c>
      <c r="AB257" s="60">
        <v>-2.2599999999999998</v>
      </c>
      <c r="AD257" s="61">
        <v>-9</v>
      </c>
      <c r="AE257" s="60">
        <v>-2.2599999999999998</v>
      </c>
    </row>
    <row r="258" spans="1:31" ht="18" customHeight="1" x14ac:dyDescent="0.2">
      <c r="A258" s="30" t="s">
        <v>78</v>
      </c>
      <c r="B258" s="30" t="s">
        <v>22</v>
      </c>
      <c r="C258" s="4">
        <v>-1.4285714285714286</v>
      </c>
      <c r="D258" s="4">
        <v>-1.4285714285714286</v>
      </c>
      <c r="F258" s="106" t="s">
        <v>77</v>
      </c>
      <c r="H258" s="61">
        <v>-9.6000000000000002E-2</v>
      </c>
      <c r="I258" s="61">
        <v>0</v>
      </c>
      <c r="J258" s="61">
        <v>0</v>
      </c>
      <c r="K258" s="86">
        <v>0</v>
      </c>
      <c r="L258" s="86">
        <v>0</v>
      </c>
      <c r="M258" s="61">
        <v>0</v>
      </c>
      <c r="N258" s="61">
        <v>-7.0000000000000001E-3</v>
      </c>
      <c r="O258" s="61">
        <v>0</v>
      </c>
      <c r="P258" s="61">
        <v>0</v>
      </c>
      <c r="Q258" s="61">
        <v>0</v>
      </c>
      <c r="R258" s="61">
        <v>0</v>
      </c>
      <c r="S258" s="61">
        <v>0</v>
      </c>
      <c r="T258" s="61">
        <v>0</v>
      </c>
      <c r="U258" s="61">
        <v>0</v>
      </c>
      <c r="V258" s="61">
        <v>0</v>
      </c>
      <c r="W258" s="61">
        <v>0</v>
      </c>
      <c r="X258" s="61">
        <v>0</v>
      </c>
      <c r="Y258" s="61">
        <v>-7.0000000000000001E-3</v>
      </c>
      <c r="AA258" s="61">
        <v>0</v>
      </c>
      <c r="AB258" s="60">
        <v>-0.01</v>
      </c>
      <c r="AD258" s="61">
        <v>0</v>
      </c>
      <c r="AE258" s="60">
        <v>-0.01</v>
      </c>
    </row>
    <row r="259" spans="1:31" ht="18" customHeight="1" x14ac:dyDescent="0.2">
      <c r="A259" s="30" t="s">
        <v>75</v>
      </c>
      <c r="B259" s="30" t="s">
        <v>22</v>
      </c>
      <c r="C259" s="4">
        <v>-0.55000000000000004</v>
      </c>
      <c r="D259" s="4">
        <v>-3.3333333333333333E-2</v>
      </c>
      <c r="F259" s="106" t="s">
        <v>76</v>
      </c>
      <c r="H259" s="61">
        <v>-17.094999999999999</v>
      </c>
      <c r="I259" s="61">
        <v>-5.09</v>
      </c>
      <c r="J259" s="61">
        <v>-5.09</v>
      </c>
      <c r="K259" s="86">
        <v>-8</v>
      </c>
      <c r="L259" s="86">
        <v>-12</v>
      </c>
      <c r="M259" s="61">
        <v>-0.90600000000000003</v>
      </c>
      <c r="N259" s="61">
        <v>-0.85799999999999998</v>
      </c>
      <c r="O259" s="61">
        <v>-0.79399999999999982</v>
      </c>
      <c r="P259" s="61">
        <v>-0.85700000000000021</v>
      </c>
      <c r="Q259" s="61">
        <v>-0.85899999999999999</v>
      </c>
      <c r="R259" s="61">
        <v>-0.93299999999999983</v>
      </c>
      <c r="S259" s="61">
        <v>-1.6640000000000006</v>
      </c>
      <c r="T259" s="61">
        <v>-1.3279999999999994</v>
      </c>
      <c r="U259" s="61">
        <v>-1.0630000000000006</v>
      </c>
      <c r="V259" s="61">
        <v>-1.1359999999999992</v>
      </c>
      <c r="W259" s="61">
        <v>-0.82699999999999996</v>
      </c>
      <c r="X259" s="61">
        <v>-1.1790000000000003</v>
      </c>
      <c r="Y259" s="61">
        <v>-12.404</v>
      </c>
      <c r="AA259" s="61">
        <v>-8</v>
      </c>
      <c r="AB259" s="60">
        <v>-4.4000000000000004</v>
      </c>
      <c r="AD259" s="61">
        <v>-12</v>
      </c>
      <c r="AE259" s="60">
        <v>-0.4</v>
      </c>
    </row>
    <row r="260" spans="1:31" ht="18" customHeight="1" x14ac:dyDescent="0.2">
      <c r="A260" s="30" t="s">
        <v>181</v>
      </c>
      <c r="B260" s="30" t="s">
        <v>22</v>
      </c>
      <c r="C260" s="4">
        <v>-0.14516666666666669</v>
      </c>
      <c r="D260" s="4">
        <v>4.2028985507246378E-3</v>
      </c>
      <c r="F260" s="106" t="s">
        <v>182</v>
      </c>
      <c r="H260" s="61">
        <v>-58.965000000000003</v>
      </c>
      <c r="I260" s="61">
        <v>-71.349000000000004</v>
      </c>
      <c r="J260" s="61">
        <v>-71.349000000000004</v>
      </c>
      <c r="K260" s="86">
        <v>-60</v>
      </c>
      <c r="L260" s="86">
        <v>-69</v>
      </c>
      <c r="M260" s="61">
        <v>-5.27</v>
      </c>
      <c r="N260" s="61">
        <v>-4.7590000000000003</v>
      </c>
      <c r="O260" s="61">
        <v>-5.27</v>
      </c>
      <c r="P260" s="61">
        <v>-5.0440000000000005</v>
      </c>
      <c r="Q260" s="61">
        <v>-5.2109999999999985</v>
      </c>
      <c r="R260" s="61">
        <v>-5.0440000000000005</v>
      </c>
      <c r="S260" s="61">
        <v>-5.1000000000000014</v>
      </c>
      <c r="T260" s="61">
        <v>-9.1360000000000028</v>
      </c>
      <c r="U260" s="61">
        <v>-6.3319999999999936</v>
      </c>
      <c r="V260" s="61">
        <v>-5.8460000000000036</v>
      </c>
      <c r="W260" s="61">
        <v>-5.7839999999999989</v>
      </c>
      <c r="X260" s="61">
        <v>-5.9100000000000037</v>
      </c>
      <c r="Y260" s="61">
        <v>-68.706000000000003</v>
      </c>
      <c r="AA260" s="61">
        <v>-60</v>
      </c>
      <c r="AB260" s="60">
        <v>-8.7100000000000009</v>
      </c>
      <c r="AD260" s="61">
        <v>-69</v>
      </c>
      <c r="AE260" s="60">
        <v>0.28999999999999998</v>
      </c>
    </row>
    <row r="261" spans="1:31" ht="18" customHeight="1" x14ac:dyDescent="0.2">
      <c r="A261" s="30" t="s">
        <v>90</v>
      </c>
      <c r="B261" s="30" t="s">
        <v>22</v>
      </c>
      <c r="C261" s="4">
        <v>-3.8333333333333337E-2</v>
      </c>
      <c r="D261" s="4">
        <v>3.2000000000000002E-3</v>
      </c>
      <c r="F261" s="106" t="s">
        <v>95</v>
      </c>
      <c r="H261" s="61">
        <v>-31.481999999999999</v>
      </c>
      <c r="I261" s="61">
        <v>-22.155000000000001</v>
      </c>
      <c r="J261" s="61">
        <v>-22.155000000000001</v>
      </c>
      <c r="K261" s="86">
        <v>-24</v>
      </c>
      <c r="L261" s="86">
        <v>-25</v>
      </c>
      <c r="M261" s="61">
        <v>-1.919</v>
      </c>
      <c r="N261" s="61">
        <v>-1.3759999999999999</v>
      </c>
      <c r="O261" s="61">
        <v>-2.5739999999999998</v>
      </c>
      <c r="P261" s="61">
        <v>-1.9910000000000005</v>
      </c>
      <c r="Q261" s="61">
        <v>-1.8730000000000002</v>
      </c>
      <c r="R261" s="61">
        <v>-1.8569999999999993</v>
      </c>
      <c r="S261" s="61">
        <v>-1.8689999999999998</v>
      </c>
      <c r="T261" s="61">
        <v>-4.0190000000000019</v>
      </c>
      <c r="U261" s="61">
        <v>-1.852999999999998</v>
      </c>
      <c r="V261" s="61">
        <v>-1.8689999999999998</v>
      </c>
      <c r="W261" s="61">
        <v>-1.8530000000000015</v>
      </c>
      <c r="X261" s="61">
        <v>-1.8699999999999974</v>
      </c>
      <c r="Y261" s="61">
        <v>-24.922999999999998</v>
      </c>
      <c r="AA261" s="61">
        <v>-24</v>
      </c>
      <c r="AB261" s="60">
        <v>-0.92</v>
      </c>
      <c r="AD261" s="61">
        <v>-25</v>
      </c>
      <c r="AE261" s="60">
        <v>0.08</v>
      </c>
    </row>
    <row r="262" spans="1:31" ht="18" customHeight="1" x14ac:dyDescent="0.2">
      <c r="A262" s="30" t="s">
        <v>91</v>
      </c>
      <c r="B262" s="30" t="s">
        <v>22</v>
      </c>
      <c r="C262" s="4">
        <v>-0.376</v>
      </c>
      <c r="D262" s="4">
        <v>-0.376</v>
      </c>
      <c r="F262" s="106" t="s">
        <v>96</v>
      </c>
      <c r="H262" s="61">
        <v>-2.3620000000000001</v>
      </c>
      <c r="I262" s="61">
        <v>-4.5739999999999998</v>
      </c>
      <c r="J262" s="61">
        <v>-4.5739999999999998</v>
      </c>
      <c r="K262" s="86">
        <v>-5</v>
      </c>
      <c r="L262" s="86">
        <v>-5</v>
      </c>
      <c r="M262" s="61">
        <v>-0.56399999999999995</v>
      </c>
      <c r="N262" s="61">
        <v>-0.50600000000000012</v>
      </c>
      <c r="O262" s="61">
        <v>-0.56499999999999995</v>
      </c>
      <c r="P262" s="61">
        <v>-0.12199999999999989</v>
      </c>
      <c r="Q262" s="61">
        <v>-0.64600000000000013</v>
      </c>
      <c r="R262" s="61">
        <v>-9.9999999999997868E-3</v>
      </c>
      <c r="S262" s="61">
        <v>-0.23100000000000032</v>
      </c>
      <c r="T262" s="61">
        <v>-1.0339999999999998</v>
      </c>
      <c r="U262" s="61">
        <v>-0.38499999999999979</v>
      </c>
      <c r="V262" s="61">
        <v>-0.16999999999999993</v>
      </c>
      <c r="W262" s="61">
        <v>-0.65399999999999991</v>
      </c>
      <c r="X262" s="61">
        <v>-1.9950000000000001</v>
      </c>
      <c r="Y262" s="61">
        <v>-6.8819999999999997</v>
      </c>
      <c r="AA262" s="61">
        <v>-5</v>
      </c>
      <c r="AB262" s="60">
        <v>-1.88</v>
      </c>
      <c r="AD262" s="61">
        <v>-5</v>
      </c>
      <c r="AE262" s="60">
        <v>-1.88</v>
      </c>
    </row>
    <row r="263" spans="1:31" ht="18" customHeight="1" x14ac:dyDescent="0.2">
      <c r="A263" s="30" t="s">
        <v>74</v>
      </c>
      <c r="B263" s="30" t="s">
        <v>22</v>
      </c>
      <c r="C263" s="4">
        <v>-4.8888888888888891E-2</v>
      </c>
      <c r="D263" s="4">
        <v>-4.8888888888888891E-2</v>
      </c>
      <c r="F263" s="106" t="s">
        <v>97</v>
      </c>
      <c r="H263" s="61">
        <v>-16.286999999999999</v>
      </c>
      <c r="I263" s="61">
        <v>-19.045000000000002</v>
      </c>
      <c r="J263" s="61">
        <v>-19.045000000000002</v>
      </c>
      <c r="K263" s="86">
        <v>-18</v>
      </c>
      <c r="L263" s="86">
        <v>-18</v>
      </c>
      <c r="M263" s="61">
        <v>-0.76500000000000001</v>
      </c>
      <c r="N263" s="61">
        <v>-3.2419999999999995</v>
      </c>
      <c r="O263" s="61">
        <v>-0.30700000000000038</v>
      </c>
      <c r="P263" s="61">
        <v>-1.4790000000000001</v>
      </c>
      <c r="Q263" s="61">
        <v>-2.7220000000000004</v>
      </c>
      <c r="R263" s="61">
        <v>-0.79399999999999871</v>
      </c>
      <c r="S263" s="61">
        <v>-1.4450000000000003</v>
      </c>
      <c r="T263" s="61">
        <v>-1.516</v>
      </c>
      <c r="U263" s="61">
        <v>-1.6950000000000003</v>
      </c>
      <c r="V263" s="61">
        <v>-1.5</v>
      </c>
      <c r="W263" s="61">
        <v>-2.0279999999999987</v>
      </c>
      <c r="X263" s="61">
        <v>-1.3880000000000017</v>
      </c>
      <c r="Y263" s="61">
        <v>-18.881</v>
      </c>
      <c r="AA263" s="61">
        <v>-18</v>
      </c>
      <c r="AB263" s="60">
        <v>-0.88</v>
      </c>
      <c r="AD263" s="61">
        <v>-18</v>
      </c>
      <c r="AE263" s="60">
        <v>-0.88</v>
      </c>
    </row>
    <row r="264" spans="1:31" s="253" customFormat="1" ht="18" customHeight="1" x14ac:dyDescent="0.2">
      <c r="A264" s="274" t="s">
        <v>447</v>
      </c>
      <c r="B264" s="254" t="s">
        <v>22</v>
      </c>
      <c r="C264" s="252">
        <v>0</v>
      </c>
      <c r="D264" s="252">
        <v>0</v>
      </c>
      <c r="F264" s="265" t="s">
        <v>446</v>
      </c>
      <c r="H264" s="257">
        <v>0</v>
      </c>
      <c r="I264" s="257">
        <v>0</v>
      </c>
      <c r="J264" s="257">
        <v>0</v>
      </c>
      <c r="K264" s="258">
        <v>0</v>
      </c>
      <c r="L264" s="258">
        <v>0</v>
      </c>
      <c r="M264" s="257">
        <v>0</v>
      </c>
      <c r="N264" s="257">
        <v>0</v>
      </c>
      <c r="O264" s="257">
        <v>0</v>
      </c>
      <c r="P264" s="257">
        <v>0</v>
      </c>
      <c r="Q264" s="257">
        <v>0</v>
      </c>
      <c r="R264" s="257">
        <v>0</v>
      </c>
      <c r="S264" s="257">
        <v>0</v>
      </c>
      <c r="T264" s="257">
        <v>0</v>
      </c>
      <c r="U264" s="257">
        <v>0</v>
      </c>
      <c r="V264" s="257">
        <v>0</v>
      </c>
      <c r="W264" s="257">
        <v>0</v>
      </c>
      <c r="X264" s="257">
        <v>0</v>
      </c>
      <c r="Y264" s="257">
        <v>0</v>
      </c>
      <c r="AA264" s="257">
        <v>0</v>
      </c>
      <c r="AB264" s="256">
        <v>0</v>
      </c>
      <c r="AD264" s="257">
        <v>0</v>
      </c>
      <c r="AE264" s="256">
        <v>0</v>
      </c>
    </row>
    <row r="265" spans="1:31" ht="18" customHeight="1" x14ac:dyDescent="0.2">
      <c r="A265" s="30" t="s">
        <v>197</v>
      </c>
      <c r="B265" s="30" t="s">
        <v>22</v>
      </c>
      <c r="C265" s="4">
        <v>0.14249999999999999</v>
      </c>
      <c r="D265" s="4">
        <v>0.14249999999999999</v>
      </c>
      <c r="F265" s="106" t="s">
        <v>198</v>
      </c>
      <c r="H265" s="61">
        <v>-3.4340000000000002</v>
      </c>
      <c r="I265" s="61">
        <v>-4.2930000000000001</v>
      </c>
      <c r="J265" s="61">
        <v>-4.2930000000000001</v>
      </c>
      <c r="K265" s="86">
        <v>-4</v>
      </c>
      <c r="L265" s="86">
        <v>-4</v>
      </c>
      <c r="M265" s="61">
        <v>-0.28599999999999998</v>
      </c>
      <c r="N265" s="61">
        <v>-0.28599999999999998</v>
      </c>
      <c r="O265" s="61">
        <v>-0.28600000000000003</v>
      </c>
      <c r="P265" s="61">
        <v>-0.28700000000000003</v>
      </c>
      <c r="Q265" s="61">
        <v>0.28700000000000003</v>
      </c>
      <c r="R265" s="61">
        <v>-0.8590000000000001</v>
      </c>
      <c r="S265" s="61">
        <v>0</v>
      </c>
      <c r="T265" s="61">
        <v>0</v>
      </c>
      <c r="U265" s="61">
        <v>-0.8580000000000001</v>
      </c>
      <c r="V265" s="61">
        <v>0</v>
      </c>
      <c r="W265" s="61">
        <v>-0.85899999999999999</v>
      </c>
      <c r="X265" s="61">
        <v>0</v>
      </c>
      <c r="Y265" s="61">
        <v>-3.4340000000000002</v>
      </c>
      <c r="AA265" s="61">
        <v>-4</v>
      </c>
      <c r="AB265" s="60">
        <v>0.56999999999999995</v>
      </c>
      <c r="AD265" s="61">
        <v>-4</v>
      </c>
      <c r="AE265" s="60">
        <v>0.56999999999999995</v>
      </c>
    </row>
    <row r="266" spans="1:31" ht="18" customHeight="1" x14ac:dyDescent="0.2">
      <c r="A266" s="30" t="s">
        <v>92</v>
      </c>
      <c r="B266" s="30" t="s">
        <v>22</v>
      </c>
      <c r="C266" s="4">
        <v>-0.15750207239568939</v>
      </c>
      <c r="D266" s="4">
        <v>-0.15750207239568939</v>
      </c>
      <c r="F266" s="106" t="s">
        <v>98</v>
      </c>
      <c r="H266" s="61">
        <v>-5.4089999999999998</v>
      </c>
      <c r="I266" s="61">
        <v>-5.5970000000000004</v>
      </c>
      <c r="J266" s="61">
        <v>-5.5970000000000004</v>
      </c>
      <c r="K266" s="86">
        <v>-3.6190000000000002</v>
      </c>
      <c r="L266" s="86">
        <v>-3.6190000000000002</v>
      </c>
      <c r="M266" s="61">
        <v>-0.39400000000000002</v>
      </c>
      <c r="N266" s="61">
        <v>-0.47</v>
      </c>
      <c r="O266" s="61">
        <v>-0.4820000000000001</v>
      </c>
      <c r="P266" s="61">
        <v>-0.373</v>
      </c>
      <c r="Q266" s="61">
        <v>-0.34499999999999997</v>
      </c>
      <c r="R266" s="61">
        <v>-0.33499999999999996</v>
      </c>
      <c r="S266" s="61">
        <v>-0.33199999999999985</v>
      </c>
      <c r="T266" s="61">
        <v>-0.33300000000000018</v>
      </c>
      <c r="U266" s="61">
        <v>-0.33299999999999974</v>
      </c>
      <c r="V266" s="61">
        <v>-0.27300000000000013</v>
      </c>
      <c r="W266" s="61">
        <v>-0.26000000000000023</v>
      </c>
      <c r="X266" s="61">
        <v>-0.26000000000000023</v>
      </c>
      <c r="Y266" s="61">
        <v>-4.1900000000000004</v>
      </c>
      <c r="AA266" s="61">
        <v>-3.6190000000000002</v>
      </c>
      <c r="AB266" s="60">
        <v>-0.56999999999999995</v>
      </c>
      <c r="AD266" s="61">
        <v>-3.6190000000000002</v>
      </c>
      <c r="AE266" s="60">
        <v>-0.56999999999999995</v>
      </c>
    </row>
    <row r="267" spans="1:31" ht="18" hidden="1" customHeight="1" outlineLevel="1" x14ac:dyDescent="0.2">
      <c r="A267" s="30" t="s">
        <v>172</v>
      </c>
      <c r="B267" s="30" t="s">
        <v>22</v>
      </c>
      <c r="C267" s="4">
        <v>0</v>
      </c>
      <c r="D267" s="4">
        <v>0</v>
      </c>
      <c r="F267" s="38" t="s">
        <v>173</v>
      </c>
      <c r="G267" s="34"/>
      <c r="H267" s="66">
        <v>0</v>
      </c>
      <c r="I267" s="66">
        <v>0</v>
      </c>
      <c r="J267" s="66">
        <v>0</v>
      </c>
      <c r="K267" s="86">
        <v>0</v>
      </c>
      <c r="L267" s="86">
        <v>0</v>
      </c>
      <c r="M267" s="66">
        <v>0</v>
      </c>
      <c r="N267" s="66">
        <v>0</v>
      </c>
      <c r="O267" s="66">
        <v>0</v>
      </c>
      <c r="P267" s="66">
        <v>0</v>
      </c>
      <c r="Q267" s="66">
        <v>0</v>
      </c>
      <c r="R267" s="66">
        <v>0</v>
      </c>
      <c r="S267" s="66">
        <v>0</v>
      </c>
      <c r="T267" s="66">
        <v>0</v>
      </c>
      <c r="U267" s="66">
        <v>0</v>
      </c>
      <c r="V267" s="66">
        <v>0</v>
      </c>
      <c r="W267" s="66">
        <v>0</v>
      </c>
      <c r="X267" s="66">
        <v>0</v>
      </c>
      <c r="Y267" s="66">
        <v>0</v>
      </c>
      <c r="Z267" s="34"/>
      <c r="AA267" s="66">
        <v>0</v>
      </c>
      <c r="AB267" s="60">
        <v>0</v>
      </c>
      <c r="AC267" s="34"/>
      <c r="AD267" s="66">
        <v>0</v>
      </c>
      <c r="AE267" s="60">
        <v>0</v>
      </c>
    </row>
    <row r="268" spans="1:31" ht="18" hidden="1" customHeight="1" outlineLevel="1" x14ac:dyDescent="0.2">
      <c r="A268" s="30" t="s">
        <v>88</v>
      </c>
      <c r="B268" s="30" t="s">
        <v>22</v>
      </c>
      <c r="C268" s="4">
        <v>0</v>
      </c>
      <c r="D268" s="4">
        <v>0</v>
      </c>
      <c r="F268" s="38" t="s">
        <v>93</v>
      </c>
      <c r="G268" s="34"/>
      <c r="H268" s="66">
        <v>0</v>
      </c>
      <c r="I268" s="66">
        <v>0</v>
      </c>
      <c r="J268" s="66">
        <v>0</v>
      </c>
      <c r="K268" s="86">
        <v>0</v>
      </c>
      <c r="L268" s="86">
        <v>0</v>
      </c>
      <c r="M268" s="66">
        <v>0</v>
      </c>
      <c r="N268" s="66">
        <v>0</v>
      </c>
      <c r="O268" s="66">
        <v>0</v>
      </c>
      <c r="P268" s="66">
        <v>0</v>
      </c>
      <c r="Q268" s="66">
        <v>0</v>
      </c>
      <c r="R268" s="66">
        <v>0</v>
      </c>
      <c r="S268" s="66">
        <v>0</v>
      </c>
      <c r="T268" s="66">
        <v>0</v>
      </c>
      <c r="U268" s="66">
        <v>0</v>
      </c>
      <c r="V268" s="66">
        <v>0</v>
      </c>
      <c r="W268" s="66">
        <v>0</v>
      </c>
      <c r="X268" s="66">
        <v>0</v>
      </c>
      <c r="Y268" s="66">
        <v>0</v>
      </c>
      <c r="Z268" s="34"/>
      <c r="AA268" s="66">
        <v>0</v>
      </c>
      <c r="AB268" s="60">
        <v>0</v>
      </c>
      <c r="AC268" s="34"/>
      <c r="AD268" s="66">
        <v>0</v>
      </c>
      <c r="AE268" s="60">
        <v>0</v>
      </c>
    </row>
    <row r="269" spans="1:31" ht="18" hidden="1" customHeight="1" outlineLevel="1" x14ac:dyDescent="0.2">
      <c r="A269" s="30" t="s">
        <v>174</v>
      </c>
      <c r="B269" s="30" t="s">
        <v>22</v>
      </c>
      <c r="C269" s="4">
        <v>0</v>
      </c>
      <c r="D269" s="4">
        <v>0</v>
      </c>
      <c r="F269" s="38" t="s">
        <v>175</v>
      </c>
      <c r="G269" s="34"/>
      <c r="H269" s="66">
        <v>0</v>
      </c>
      <c r="I269" s="66">
        <v>0</v>
      </c>
      <c r="J269" s="66">
        <v>0</v>
      </c>
      <c r="K269" s="86">
        <v>0</v>
      </c>
      <c r="L269" s="86">
        <v>0</v>
      </c>
      <c r="M269" s="66">
        <v>0</v>
      </c>
      <c r="N269" s="66">
        <v>0</v>
      </c>
      <c r="O269" s="66">
        <v>0</v>
      </c>
      <c r="P269" s="66">
        <v>0</v>
      </c>
      <c r="Q269" s="66">
        <v>0</v>
      </c>
      <c r="R269" s="66">
        <v>0</v>
      </c>
      <c r="S269" s="66">
        <v>0</v>
      </c>
      <c r="T269" s="66">
        <v>0</v>
      </c>
      <c r="U269" s="66">
        <v>0</v>
      </c>
      <c r="V269" s="66">
        <v>0</v>
      </c>
      <c r="W269" s="66">
        <v>0</v>
      </c>
      <c r="X269" s="66">
        <v>0</v>
      </c>
      <c r="Y269" s="66">
        <v>0</v>
      </c>
      <c r="Z269" s="34"/>
      <c r="AA269" s="66">
        <v>0</v>
      </c>
      <c r="AB269" s="60">
        <v>0</v>
      </c>
      <c r="AC269" s="34"/>
      <c r="AD269" s="66">
        <v>0</v>
      </c>
      <c r="AE269" s="60">
        <v>0</v>
      </c>
    </row>
    <row r="270" spans="1:31" ht="18" hidden="1" customHeight="1" outlineLevel="1" x14ac:dyDescent="0.2">
      <c r="A270" s="30" t="s">
        <v>191</v>
      </c>
      <c r="B270" s="30" t="s">
        <v>22</v>
      </c>
      <c r="C270" s="4">
        <v>0</v>
      </c>
      <c r="D270" s="4">
        <v>0</v>
      </c>
      <c r="F270" s="38" t="s">
        <v>192</v>
      </c>
      <c r="G270" s="34"/>
      <c r="H270" s="66">
        <v>0</v>
      </c>
      <c r="I270" s="66">
        <v>0</v>
      </c>
      <c r="J270" s="66">
        <v>0</v>
      </c>
      <c r="K270" s="86">
        <v>0</v>
      </c>
      <c r="L270" s="86">
        <v>0</v>
      </c>
      <c r="M270" s="66">
        <v>0</v>
      </c>
      <c r="N270" s="66">
        <v>0</v>
      </c>
      <c r="O270" s="66">
        <v>0</v>
      </c>
      <c r="P270" s="66">
        <v>0</v>
      </c>
      <c r="Q270" s="66">
        <v>0</v>
      </c>
      <c r="R270" s="66">
        <v>0</v>
      </c>
      <c r="S270" s="66">
        <v>0</v>
      </c>
      <c r="T270" s="66">
        <v>0</v>
      </c>
      <c r="U270" s="66">
        <v>0</v>
      </c>
      <c r="V270" s="66">
        <v>0</v>
      </c>
      <c r="W270" s="66">
        <v>0</v>
      </c>
      <c r="X270" s="66">
        <v>0</v>
      </c>
      <c r="Y270" s="66">
        <v>0</v>
      </c>
      <c r="Z270" s="34"/>
      <c r="AA270" s="66">
        <v>0</v>
      </c>
      <c r="AB270" s="60">
        <v>0</v>
      </c>
      <c r="AC270" s="34"/>
      <c r="AD270" s="66">
        <v>0</v>
      </c>
      <c r="AE270" s="60">
        <v>0</v>
      </c>
    </row>
    <row r="271" spans="1:31" ht="18" hidden="1" customHeight="1" outlineLevel="1" x14ac:dyDescent="0.2">
      <c r="A271" s="30" t="s">
        <v>130</v>
      </c>
      <c r="B271" s="30" t="s">
        <v>22</v>
      </c>
      <c r="C271" s="4">
        <v>0</v>
      </c>
      <c r="D271" s="4">
        <v>0</v>
      </c>
      <c r="F271" s="38" t="s">
        <v>176</v>
      </c>
      <c r="G271" s="34"/>
      <c r="H271" s="66">
        <v>0</v>
      </c>
      <c r="I271" s="66">
        <v>0</v>
      </c>
      <c r="J271" s="66">
        <v>0</v>
      </c>
      <c r="K271" s="86">
        <v>0</v>
      </c>
      <c r="L271" s="86">
        <v>0</v>
      </c>
      <c r="M271" s="66">
        <v>0</v>
      </c>
      <c r="N271" s="66">
        <v>0</v>
      </c>
      <c r="O271" s="66">
        <v>0</v>
      </c>
      <c r="P271" s="66">
        <v>0</v>
      </c>
      <c r="Q271" s="66">
        <v>0</v>
      </c>
      <c r="R271" s="66">
        <v>0</v>
      </c>
      <c r="S271" s="66">
        <v>0</v>
      </c>
      <c r="T271" s="66">
        <v>0</v>
      </c>
      <c r="U271" s="66">
        <v>0</v>
      </c>
      <c r="V271" s="66">
        <v>0</v>
      </c>
      <c r="W271" s="66">
        <v>0</v>
      </c>
      <c r="X271" s="66">
        <v>0</v>
      </c>
      <c r="Y271" s="66">
        <v>0</v>
      </c>
      <c r="Z271" s="34"/>
      <c r="AA271" s="66">
        <v>0</v>
      </c>
      <c r="AB271" s="60">
        <v>0</v>
      </c>
      <c r="AC271" s="34"/>
      <c r="AD271" s="66">
        <v>0</v>
      </c>
      <c r="AE271" s="60">
        <v>0</v>
      </c>
    </row>
    <row r="272" spans="1:31" ht="18" hidden="1" customHeight="1" outlineLevel="1" x14ac:dyDescent="0.2">
      <c r="A272" s="30" t="s">
        <v>177</v>
      </c>
      <c r="B272" s="30" t="s">
        <v>22</v>
      </c>
      <c r="C272" s="4">
        <v>-1</v>
      </c>
      <c r="D272" s="4">
        <v>-1</v>
      </c>
      <c r="F272" s="38" t="s">
        <v>178</v>
      </c>
      <c r="G272" s="34"/>
      <c r="H272" s="66">
        <v>0</v>
      </c>
      <c r="I272" s="66">
        <v>0</v>
      </c>
      <c r="J272" s="66">
        <v>0</v>
      </c>
      <c r="K272" s="86">
        <v>0</v>
      </c>
      <c r="L272" s="86">
        <v>0</v>
      </c>
      <c r="M272" s="66">
        <v>0</v>
      </c>
      <c r="N272" s="66">
        <v>0</v>
      </c>
      <c r="O272" s="66">
        <v>0</v>
      </c>
      <c r="P272" s="66">
        <v>0</v>
      </c>
      <c r="Q272" s="66">
        <v>0</v>
      </c>
      <c r="R272" s="66">
        <v>0</v>
      </c>
      <c r="S272" s="66">
        <v>0</v>
      </c>
      <c r="T272" s="66">
        <v>-0.05</v>
      </c>
      <c r="U272" s="66">
        <v>0</v>
      </c>
      <c r="V272" s="66">
        <v>0</v>
      </c>
      <c r="W272" s="66">
        <v>0</v>
      </c>
      <c r="X272" s="66">
        <v>-4</v>
      </c>
      <c r="Y272" s="66">
        <v>-4.05</v>
      </c>
      <c r="Z272" s="34"/>
      <c r="AA272" s="66">
        <v>0</v>
      </c>
      <c r="AB272" s="60">
        <v>-4.05</v>
      </c>
      <c r="AC272" s="34"/>
      <c r="AD272" s="66">
        <v>0</v>
      </c>
      <c r="AE272" s="60">
        <v>-4.05</v>
      </c>
    </row>
    <row r="273" spans="1:31" ht="18" hidden="1" customHeight="1" outlineLevel="1" x14ac:dyDescent="0.2">
      <c r="A273" s="30" t="s">
        <v>179</v>
      </c>
      <c r="B273" s="30" t="s">
        <v>22</v>
      </c>
      <c r="C273" s="4">
        <v>0</v>
      </c>
      <c r="D273" s="4">
        <v>0</v>
      </c>
      <c r="F273" s="38" t="s">
        <v>180</v>
      </c>
      <c r="G273" s="34"/>
      <c r="H273" s="66">
        <v>0</v>
      </c>
      <c r="I273" s="66">
        <v>0</v>
      </c>
      <c r="J273" s="66">
        <v>0</v>
      </c>
      <c r="K273" s="86">
        <v>0</v>
      </c>
      <c r="L273" s="86">
        <v>0</v>
      </c>
      <c r="M273" s="66">
        <v>0</v>
      </c>
      <c r="N273" s="66">
        <v>0</v>
      </c>
      <c r="O273" s="66">
        <v>0</v>
      </c>
      <c r="P273" s="66">
        <v>0</v>
      </c>
      <c r="Q273" s="66">
        <v>0</v>
      </c>
      <c r="R273" s="66">
        <v>0</v>
      </c>
      <c r="S273" s="66">
        <v>0</v>
      </c>
      <c r="T273" s="66">
        <v>0</v>
      </c>
      <c r="U273" s="66">
        <v>0</v>
      </c>
      <c r="V273" s="66">
        <v>0</v>
      </c>
      <c r="W273" s="66">
        <v>0</v>
      </c>
      <c r="X273" s="66">
        <v>0</v>
      </c>
      <c r="Y273" s="66">
        <v>0</v>
      </c>
      <c r="Z273" s="34"/>
      <c r="AA273" s="66">
        <v>0</v>
      </c>
      <c r="AB273" s="60">
        <v>0</v>
      </c>
      <c r="AC273" s="34"/>
      <c r="AD273" s="66">
        <v>0</v>
      </c>
      <c r="AE273" s="60">
        <v>0</v>
      </c>
    </row>
    <row r="274" spans="1:31" ht="18" hidden="1" customHeight="1" outlineLevel="1" x14ac:dyDescent="0.2">
      <c r="A274" s="30" t="s">
        <v>89</v>
      </c>
      <c r="B274" s="30" t="s">
        <v>22</v>
      </c>
      <c r="C274" s="4">
        <v>-1</v>
      </c>
      <c r="D274" s="4">
        <v>-1</v>
      </c>
      <c r="F274" s="38" t="s">
        <v>187</v>
      </c>
      <c r="G274" s="34"/>
      <c r="H274" s="66">
        <v>0</v>
      </c>
      <c r="I274" s="66">
        <v>0</v>
      </c>
      <c r="J274" s="66">
        <v>0</v>
      </c>
      <c r="K274" s="86">
        <v>0</v>
      </c>
      <c r="L274" s="86">
        <v>0</v>
      </c>
      <c r="M274" s="66">
        <v>0</v>
      </c>
      <c r="N274" s="66">
        <v>0</v>
      </c>
      <c r="O274" s="66">
        <v>0</v>
      </c>
      <c r="P274" s="66">
        <v>0</v>
      </c>
      <c r="Q274" s="66">
        <v>0</v>
      </c>
      <c r="R274" s="66">
        <v>0</v>
      </c>
      <c r="S274" s="66">
        <v>0</v>
      </c>
      <c r="T274" s="66">
        <v>0</v>
      </c>
      <c r="U274" s="66">
        <v>0</v>
      </c>
      <c r="V274" s="66">
        <v>0</v>
      </c>
      <c r="W274" s="66">
        <v>-0.01</v>
      </c>
      <c r="X274" s="66">
        <v>0</v>
      </c>
      <c r="Y274" s="66">
        <v>-0.01</v>
      </c>
      <c r="Z274" s="34"/>
      <c r="AA274" s="66">
        <v>0</v>
      </c>
      <c r="AB274" s="60">
        <v>-0.01</v>
      </c>
      <c r="AC274" s="34"/>
      <c r="AD274" s="66">
        <v>0</v>
      </c>
      <c r="AE274" s="60">
        <v>-0.01</v>
      </c>
    </row>
    <row r="275" spans="1:31" ht="18" hidden="1" customHeight="1" outlineLevel="1" x14ac:dyDescent="0.2">
      <c r="A275" s="30" t="s">
        <v>193</v>
      </c>
      <c r="B275" s="30" t="s">
        <v>22</v>
      </c>
      <c r="C275" s="4">
        <v>0</v>
      </c>
      <c r="D275" s="4">
        <v>0</v>
      </c>
      <c r="F275" s="38" t="s">
        <v>194</v>
      </c>
      <c r="G275" s="34"/>
      <c r="H275" s="66">
        <v>0</v>
      </c>
      <c r="I275" s="66">
        <v>0</v>
      </c>
      <c r="J275" s="66">
        <v>0</v>
      </c>
      <c r="K275" s="86">
        <v>0</v>
      </c>
      <c r="L275" s="86">
        <v>0</v>
      </c>
      <c r="M275" s="66">
        <v>0</v>
      </c>
      <c r="N275" s="66">
        <v>0</v>
      </c>
      <c r="O275" s="66">
        <v>0</v>
      </c>
      <c r="P275" s="66">
        <v>0</v>
      </c>
      <c r="Q275" s="66">
        <v>0</v>
      </c>
      <c r="R275" s="66">
        <v>0</v>
      </c>
      <c r="S275" s="66">
        <v>0</v>
      </c>
      <c r="T275" s="66">
        <v>0</v>
      </c>
      <c r="U275" s="66">
        <v>0</v>
      </c>
      <c r="V275" s="66">
        <v>0</v>
      </c>
      <c r="W275" s="66">
        <v>0</v>
      </c>
      <c r="X275" s="66">
        <v>0</v>
      </c>
      <c r="Y275" s="66">
        <v>0</v>
      </c>
      <c r="Z275" s="34"/>
      <c r="AA275" s="66">
        <v>0</v>
      </c>
      <c r="AB275" s="60">
        <v>0</v>
      </c>
      <c r="AC275" s="34"/>
      <c r="AD275" s="66">
        <v>0</v>
      </c>
      <c r="AE275" s="60">
        <v>0</v>
      </c>
    </row>
    <row r="276" spans="1:31" ht="18" hidden="1" customHeight="1" outlineLevel="1" x14ac:dyDescent="0.2">
      <c r="A276" s="30" t="s">
        <v>127</v>
      </c>
      <c r="B276" s="30" t="s">
        <v>22</v>
      </c>
      <c r="C276" s="4">
        <v>0</v>
      </c>
      <c r="D276" s="4">
        <v>0</v>
      </c>
      <c r="F276" s="38" t="s">
        <v>128</v>
      </c>
      <c r="G276" s="34"/>
      <c r="H276" s="66">
        <v>0</v>
      </c>
      <c r="I276" s="66">
        <v>0</v>
      </c>
      <c r="J276" s="66">
        <v>0</v>
      </c>
      <c r="K276" s="86">
        <v>0</v>
      </c>
      <c r="L276" s="86">
        <v>0</v>
      </c>
      <c r="M276" s="66">
        <v>0</v>
      </c>
      <c r="N276" s="66">
        <v>0</v>
      </c>
      <c r="O276" s="66">
        <v>0</v>
      </c>
      <c r="P276" s="66">
        <v>0</v>
      </c>
      <c r="Q276" s="66">
        <v>0</v>
      </c>
      <c r="R276" s="66">
        <v>0</v>
      </c>
      <c r="S276" s="66">
        <v>0</v>
      </c>
      <c r="T276" s="66">
        <v>0</v>
      </c>
      <c r="U276" s="66">
        <v>0</v>
      </c>
      <c r="V276" s="66">
        <v>0</v>
      </c>
      <c r="W276" s="66">
        <v>0</v>
      </c>
      <c r="X276" s="66">
        <v>0</v>
      </c>
      <c r="Y276" s="66">
        <v>0</v>
      </c>
      <c r="Z276" s="34"/>
      <c r="AA276" s="66">
        <v>0</v>
      </c>
      <c r="AB276" s="60">
        <v>0</v>
      </c>
      <c r="AC276" s="34"/>
      <c r="AD276" s="66">
        <v>0</v>
      </c>
      <c r="AE276" s="60">
        <v>0</v>
      </c>
    </row>
    <row r="277" spans="1:31" ht="18" hidden="1" customHeight="1" outlineLevel="1" x14ac:dyDescent="0.2">
      <c r="A277" s="30" t="s">
        <v>261</v>
      </c>
      <c r="B277" s="30" t="s">
        <v>22</v>
      </c>
      <c r="C277" s="4">
        <v>0</v>
      </c>
      <c r="D277" s="4">
        <v>0</v>
      </c>
      <c r="F277" s="38" t="s">
        <v>262</v>
      </c>
      <c r="G277" s="34"/>
      <c r="H277" s="66">
        <v>0</v>
      </c>
      <c r="I277" s="66">
        <v>0</v>
      </c>
      <c r="J277" s="66">
        <v>0</v>
      </c>
      <c r="K277" s="86">
        <v>0</v>
      </c>
      <c r="L277" s="86">
        <v>0</v>
      </c>
      <c r="M277" s="66">
        <v>0</v>
      </c>
      <c r="N277" s="66">
        <v>0</v>
      </c>
      <c r="O277" s="66">
        <v>0</v>
      </c>
      <c r="P277" s="66">
        <v>0</v>
      </c>
      <c r="Q277" s="66">
        <v>0</v>
      </c>
      <c r="R277" s="66">
        <v>0</v>
      </c>
      <c r="S277" s="66">
        <v>0</v>
      </c>
      <c r="T277" s="66">
        <v>0</v>
      </c>
      <c r="U277" s="66">
        <v>0</v>
      </c>
      <c r="V277" s="66">
        <v>0</v>
      </c>
      <c r="W277" s="66">
        <v>0</v>
      </c>
      <c r="X277" s="66">
        <v>0</v>
      </c>
      <c r="Y277" s="66">
        <v>0</v>
      </c>
      <c r="Z277" s="34"/>
      <c r="AA277" s="66">
        <v>0</v>
      </c>
      <c r="AB277" s="60">
        <v>0</v>
      </c>
      <c r="AC277" s="34"/>
      <c r="AD277" s="66">
        <v>0</v>
      </c>
      <c r="AE277" s="60">
        <v>0</v>
      </c>
    </row>
    <row r="278" spans="1:31" ht="18" hidden="1" customHeight="1" outlineLevel="1" x14ac:dyDescent="0.2">
      <c r="A278" s="30" t="s">
        <v>263</v>
      </c>
      <c r="B278" s="30" t="s">
        <v>22</v>
      </c>
      <c r="C278" s="4">
        <v>0</v>
      </c>
      <c r="D278" s="4">
        <v>0</v>
      </c>
      <c r="F278" s="38" t="s">
        <v>264</v>
      </c>
      <c r="G278" s="34"/>
      <c r="H278" s="66">
        <v>0</v>
      </c>
      <c r="I278" s="66">
        <v>0</v>
      </c>
      <c r="J278" s="66">
        <v>0</v>
      </c>
      <c r="K278" s="86">
        <v>0</v>
      </c>
      <c r="L278" s="86">
        <v>0</v>
      </c>
      <c r="M278" s="66">
        <v>0</v>
      </c>
      <c r="N278" s="66">
        <v>0</v>
      </c>
      <c r="O278" s="66">
        <v>0</v>
      </c>
      <c r="P278" s="66">
        <v>0</v>
      </c>
      <c r="Q278" s="66">
        <v>0</v>
      </c>
      <c r="R278" s="66">
        <v>0</v>
      </c>
      <c r="S278" s="66">
        <v>0</v>
      </c>
      <c r="T278" s="66">
        <v>0</v>
      </c>
      <c r="U278" s="66">
        <v>0</v>
      </c>
      <c r="V278" s="66">
        <v>0</v>
      </c>
      <c r="W278" s="66">
        <v>0</v>
      </c>
      <c r="X278" s="66">
        <v>0</v>
      </c>
      <c r="Y278" s="66">
        <v>0</v>
      </c>
      <c r="Z278" s="34"/>
      <c r="AA278" s="66">
        <v>0</v>
      </c>
      <c r="AB278" s="60">
        <v>0</v>
      </c>
      <c r="AC278" s="34"/>
      <c r="AD278" s="66">
        <v>0</v>
      </c>
      <c r="AE278" s="60">
        <v>0</v>
      </c>
    </row>
    <row r="279" spans="1:31" ht="18" hidden="1" customHeight="1" outlineLevel="1" x14ac:dyDescent="0.2">
      <c r="A279" s="30" t="s">
        <v>195</v>
      </c>
      <c r="B279" s="30" t="s">
        <v>22</v>
      </c>
      <c r="C279" s="4">
        <v>0</v>
      </c>
      <c r="D279" s="4">
        <v>0</v>
      </c>
      <c r="F279" s="38" t="s">
        <v>196</v>
      </c>
      <c r="G279" s="34"/>
      <c r="H279" s="66">
        <v>0</v>
      </c>
      <c r="I279" s="66">
        <v>0</v>
      </c>
      <c r="J279" s="66">
        <v>0</v>
      </c>
      <c r="K279" s="86">
        <v>0</v>
      </c>
      <c r="L279" s="86">
        <v>0</v>
      </c>
      <c r="M279" s="66">
        <v>0</v>
      </c>
      <c r="N279" s="66">
        <v>0</v>
      </c>
      <c r="O279" s="66">
        <v>0</v>
      </c>
      <c r="P279" s="66">
        <v>0</v>
      </c>
      <c r="Q279" s="66">
        <v>0</v>
      </c>
      <c r="R279" s="66">
        <v>0</v>
      </c>
      <c r="S279" s="66">
        <v>0</v>
      </c>
      <c r="T279" s="66">
        <v>0</v>
      </c>
      <c r="U279" s="66">
        <v>0</v>
      </c>
      <c r="V279" s="66">
        <v>0</v>
      </c>
      <c r="W279" s="66">
        <v>0</v>
      </c>
      <c r="X279" s="66">
        <v>0</v>
      </c>
      <c r="Y279" s="66">
        <v>0</v>
      </c>
      <c r="Z279" s="34"/>
      <c r="AA279" s="66">
        <v>0</v>
      </c>
      <c r="AB279" s="60">
        <v>0</v>
      </c>
      <c r="AC279" s="34"/>
      <c r="AD279" s="66">
        <v>0</v>
      </c>
      <c r="AE279" s="60">
        <v>0</v>
      </c>
    </row>
    <row r="280" spans="1:31" ht="18" hidden="1" customHeight="1" outlineLevel="1" x14ac:dyDescent="0.2">
      <c r="A280" s="30" t="s">
        <v>200</v>
      </c>
      <c r="B280" s="30" t="s">
        <v>22</v>
      </c>
      <c r="C280" s="4">
        <v>0</v>
      </c>
      <c r="D280" s="4">
        <v>0</v>
      </c>
      <c r="F280" s="104" t="s">
        <v>183</v>
      </c>
      <c r="G280" s="36"/>
      <c r="H280" s="65">
        <v>0</v>
      </c>
      <c r="I280" s="65">
        <v>0</v>
      </c>
      <c r="J280" s="65">
        <v>0</v>
      </c>
      <c r="K280" s="90">
        <v>0</v>
      </c>
      <c r="L280" s="90">
        <v>0</v>
      </c>
      <c r="M280" s="65">
        <v>0</v>
      </c>
      <c r="N280" s="65">
        <v>0</v>
      </c>
      <c r="O280" s="65">
        <v>0</v>
      </c>
      <c r="P280" s="65">
        <v>0</v>
      </c>
      <c r="Q280" s="65">
        <v>0</v>
      </c>
      <c r="R280" s="65">
        <v>0</v>
      </c>
      <c r="S280" s="65">
        <v>0</v>
      </c>
      <c r="T280" s="65">
        <v>0</v>
      </c>
      <c r="U280" s="65">
        <v>0</v>
      </c>
      <c r="V280" s="65">
        <v>0</v>
      </c>
      <c r="W280" s="65">
        <v>0</v>
      </c>
      <c r="X280" s="65">
        <v>0</v>
      </c>
      <c r="Y280" s="65">
        <v>0</v>
      </c>
      <c r="Z280" s="36"/>
      <c r="AA280" s="65">
        <v>0</v>
      </c>
      <c r="AB280" s="60">
        <v>0</v>
      </c>
      <c r="AC280" s="36"/>
      <c r="AD280" s="65">
        <v>0</v>
      </c>
      <c r="AE280" s="60">
        <v>0</v>
      </c>
    </row>
    <row r="281" spans="1:31" ht="18" hidden="1" customHeight="1" outlineLevel="1" x14ac:dyDescent="0.2">
      <c r="A281" s="30" t="s">
        <v>199</v>
      </c>
      <c r="B281" s="30" t="s">
        <v>22</v>
      </c>
      <c r="C281" s="4">
        <v>0</v>
      </c>
      <c r="D281" s="4">
        <v>0</v>
      </c>
      <c r="F281" s="38" t="s">
        <v>184</v>
      </c>
      <c r="G281" s="34"/>
      <c r="H281" s="66">
        <v>0</v>
      </c>
      <c r="I281" s="66">
        <v>0</v>
      </c>
      <c r="J281" s="66">
        <v>0</v>
      </c>
      <c r="K281" s="86">
        <v>0</v>
      </c>
      <c r="L281" s="86">
        <v>0</v>
      </c>
      <c r="M281" s="66">
        <v>0</v>
      </c>
      <c r="N281" s="66">
        <v>0</v>
      </c>
      <c r="O281" s="66">
        <v>0</v>
      </c>
      <c r="P281" s="66">
        <v>0</v>
      </c>
      <c r="Q281" s="66">
        <v>0</v>
      </c>
      <c r="R281" s="66">
        <v>0</v>
      </c>
      <c r="S281" s="66">
        <v>0</v>
      </c>
      <c r="T281" s="66">
        <v>0</v>
      </c>
      <c r="U281" s="66">
        <v>0</v>
      </c>
      <c r="V281" s="66">
        <v>0</v>
      </c>
      <c r="W281" s="66">
        <v>0</v>
      </c>
      <c r="X281" s="66">
        <v>0</v>
      </c>
      <c r="Y281" s="66">
        <v>0</v>
      </c>
      <c r="Z281" s="34"/>
      <c r="AA281" s="66">
        <v>0</v>
      </c>
      <c r="AB281" s="60">
        <v>0</v>
      </c>
      <c r="AC281" s="34"/>
      <c r="AD281" s="66">
        <v>0</v>
      </c>
      <c r="AE281" s="60">
        <v>0</v>
      </c>
    </row>
    <row r="282" spans="1:31" s="253" customFormat="1" ht="18" hidden="1" customHeight="1" outlineLevel="1" x14ac:dyDescent="0.2">
      <c r="A282" s="276" t="s">
        <v>445</v>
      </c>
      <c r="B282" s="276" t="s">
        <v>22</v>
      </c>
      <c r="C282" s="252">
        <v>-0.71</v>
      </c>
      <c r="D282" s="252">
        <v>0</v>
      </c>
      <c r="F282" s="255" t="s">
        <v>452</v>
      </c>
      <c r="G282" s="239"/>
      <c r="H282" s="241">
        <v>0</v>
      </c>
      <c r="I282" s="241">
        <v>-0.127</v>
      </c>
      <c r="J282" s="241">
        <v>-0.127</v>
      </c>
      <c r="K282" s="258">
        <v>-1</v>
      </c>
      <c r="L282" s="258">
        <v>-2</v>
      </c>
      <c r="M282" s="241">
        <v>-3.4000000000000002E-2</v>
      </c>
      <c r="N282" s="241">
        <v>-3.4000000000000002E-2</v>
      </c>
      <c r="O282" s="241">
        <v>-3.3999999999999989E-2</v>
      </c>
      <c r="P282" s="241">
        <v>-3.4000000000000016E-2</v>
      </c>
      <c r="Q282" s="241">
        <v>-1.3220000000000001</v>
      </c>
      <c r="R282" s="241">
        <v>-3.499999999999992E-2</v>
      </c>
      <c r="S282" s="241">
        <v>-3.3999999999999808E-2</v>
      </c>
      <c r="T282" s="241">
        <v>-3.6000000000000032E-2</v>
      </c>
      <c r="U282" s="241">
        <v>-3.5000000000000142E-2</v>
      </c>
      <c r="V282" s="241">
        <v>-3.599999999999981E-2</v>
      </c>
      <c r="W282" s="241">
        <v>-3.6000000000000032E-2</v>
      </c>
      <c r="X282" s="241">
        <v>-3.5000000000000142E-2</v>
      </c>
      <c r="Y282" s="241">
        <v>-1.7050000000000001</v>
      </c>
      <c r="Z282" s="239"/>
      <c r="AA282" s="241">
        <v>-1</v>
      </c>
      <c r="AB282" s="256">
        <v>-0.71</v>
      </c>
      <c r="AC282" s="239"/>
      <c r="AD282" s="241"/>
      <c r="AE282" s="256"/>
    </row>
    <row r="283" spans="1:31" ht="18" hidden="1" customHeight="1" outlineLevel="1" x14ac:dyDescent="0.2">
      <c r="A283" s="30" t="s">
        <v>185</v>
      </c>
      <c r="B283" s="30" t="s">
        <v>22</v>
      </c>
      <c r="C283" s="4">
        <v>1</v>
      </c>
      <c r="D283" s="4">
        <v>0</v>
      </c>
      <c r="F283" s="38" t="s">
        <v>186</v>
      </c>
      <c r="G283" s="34"/>
      <c r="H283" s="66">
        <v>0</v>
      </c>
      <c r="I283" s="66">
        <v>0.92500000000000004</v>
      </c>
      <c r="J283" s="66">
        <v>0.92500000000000004</v>
      </c>
      <c r="K283" s="86">
        <v>-1</v>
      </c>
      <c r="L283" s="86">
        <v>0</v>
      </c>
      <c r="M283" s="66">
        <v>0</v>
      </c>
      <c r="N283" s="66">
        <v>0</v>
      </c>
      <c r="O283" s="66">
        <v>0</v>
      </c>
      <c r="P283" s="66">
        <v>0</v>
      </c>
      <c r="Q283" s="66">
        <v>0</v>
      </c>
      <c r="R283" s="66">
        <v>0</v>
      </c>
      <c r="S283" s="66">
        <v>0</v>
      </c>
      <c r="T283" s="66">
        <v>0</v>
      </c>
      <c r="U283" s="66">
        <v>0</v>
      </c>
      <c r="V283" s="66">
        <v>0</v>
      </c>
      <c r="W283" s="66">
        <v>0</v>
      </c>
      <c r="X283" s="66">
        <v>0</v>
      </c>
      <c r="Y283" s="66">
        <v>0</v>
      </c>
      <c r="Z283" s="34"/>
      <c r="AA283" s="66">
        <v>-1</v>
      </c>
      <c r="AB283" s="60">
        <v>1</v>
      </c>
      <c r="AC283" s="34"/>
      <c r="AD283" s="66">
        <v>0</v>
      </c>
      <c r="AE283" s="60">
        <v>0</v>
      </c>
    </row>
    <row r="284" spans="1:31" ht="18" hidden="1" customHeight="1" outlineLevel="1" x14ac:dyDescent="0.2">
      <c r="A284" s="30" t="s">
        <v>125</v>
      </c>
      <c r="B284" s="30" t="s">
        <v>22</v>
      </c>
      <c r="C284" s="4">
        <v>1</v>
      </c>
      <c r="D284" s="4">
        <v>1</v>
      </c>
      <c r="F284" s="38" t="s">
        <v>126</v>
      </c>
      <c r="G284" s="34"/>
      <c r="H284" s="66">
        <v>-2.96</v>
      </c>
      <c r="I284" s="66">
        <v>-1.6870000000000001</v>
      </c>
      <c r="J284" s="66">
        <v>-1.6870000000000001</v>
      </c>
      <c r="K284" s="86">
        <v>-3</v>
      </c>
      <c r="L284" s="86">
        <v>-3</v>
      </c>
      <c r="M284" s="66">
        <v>2E-3</v>
      </c>
      <c r="N284" s="66">
        <v>0</v>
      </c>
      <c r="O284" s="66">
        <v>0</v>
      </c>
      <c r="P284" s="66">
        <v>0</v>
      </c>
      <c r="Q284" s="66">
        <v>0</v>
      </c>
      <c r="R284" s="66">
        <v>0</v>
      </c>
      <c r="S284" s="66">
        <v>0</v>
      </c>
      <c r="T284" s="66">
        <v>0</v>
      </c>
      <c r="U284" s="66">
        <v>0</v>
      </c>
      <c r="V284" s="66">
        <v>0</v>
      </c>
      <c r="W284" s="66">
        <v>0</v>
      </c>
      <c r="X284" s="66">
        <v>0</v>
      </c>
      <c r="Y284" s="66">
        <v>2E-3</v>
      </c>
      <c r="Z284" s="34"/>
      <c r="AA284" s="66">
        <v>-3</v>
      </c>
      <c r="AB284" s="60">
        <v>3</v>
      </c>
      <c r="AC284" s="34"/>
      <c r="AD284" s="66">
        <v>-3</v>
      </c>
      <c r="AE284" s="60">
        <v>3</v>
      </c>
    </row>
    <row r="285" spans="1:31" ht="18" customHeight="1" collapsed="1" x14ac:dyDescent="0.2">
      <c r="A285" s="35"/>
      <c r="B285" s="35"/>
      <c r="C285" s="4">
        <v>-0.152</v>
      </c>
      <c r="D285" s="4">
        <v>-0.152</v>
      </c>
      <c r="F285" s="106" t="s">
        <v>69</v>
      </c>
      <c r="H285" s="61">
        <v>-2.96</v>
      </c>
      <c r="I285" s="61">
        <v>-0.88900000000000001</v>
      </c>
      <c r="J285" s="61">
        <v>-0.88900000000000001</v>
      </c>
      <c r="K285" s="86">
        <v>-5</v>
      </c>
      <c r="L285" s="86">
        <v>-5</v>
      </c>
      <c r="M285" s="61">
        <v>-3.2000000000000001E-2</v>
      </c>
      <c r="N285" s="61">
        <v>-3.4000000000000002E-2</v>
      </c>
      <c r="O285" s="61">
        <v>-3.3999999999999989E-2</v>
      </c>
      <c r="P285" s="61">
        <v>-3.4000000000000016E-2</v>
      </c>
      <c r="Q285" s="61">
        <v>-1.3220000000000001</v>
      </c>
      <c r="R285" s="61">
        <v>-3.499999999999992E-2</v>
      </c>
      <c r="S285" s="61">
        <v>-3.3999999999999808E-2</v>
      </c>
      <c r="T285" s="61">
        <v>-8.6000000000000035E-2</v>
      </c>
      <c r="U285" s="61">
        <v>-3.5000000000000142E-2</v>
      </c>
      <c r="V285" s="61">
        <v>-3.599999999999981E-2</v>
      </c>
      <c r="W285" s="61">
        <v>-4.6000000000000034E-2</v>
      </c>
      <c r="X285" s="61">
        <v>-4.0350000000000001</v>
      </c>
      <c r="Y285" s="61">
        <v>-5.7629999999999999</v>
      </c>
      <c r="AA285" s="61">
        <v>-5</v>
      </c>
      <c r="AB285" s="60">
        <v>-0.76</v>
      </c>
      <c r="AD285" s="61">
        <v>-5</v>
      </c>
      <c r="AE285" s="60">
        <v>-0.76</v>
      </c>
    </row>
    <row r="286" spans="1:31" ht="18" customHeight="1" x14ac:dyDescent="0.2">
      <c r="A286" s="30" t="s">
        <v>257</v>
      </c>
      <c r="B286" s="30" t="s">
        <v>22</v>
      </c>
      <c r="C286" s="4">
        <v>-0.99832214765100669</v>
      </c>
      <c r="D286" s="4">
        <v>0.20666666666666667</v>
      </c>
      <c r="F286" s="104" t="s">
        <v>258</v>
      </c>
      <c r="G286" s="36"/>
      <c r="H286" s="65">
        <v>5.1059999999999999</v>
      </c>
      <c r="I286" s="65">
        <v>14.297000000000001</v>
      </c>
      <c r="J286" s="65">
        <v>14.297000000000001</v>
      </c>
      <c r="K286" s="65">
        <v>0</v>
      </c>
      <c r="L286" s="65">
        <v>-3</v>
      </c>
      <c r="M286" s="65">
        <v>0</v>
      </c>
      <c r="N286" s="65">
        <v>0</v>
      </c>
      <c r="O286" s="65">
        <v>0</v>
      </c>
      <c r="P286" s="65">
        <v>0</v>
      </c>
      <c r="Q286" s="65">
        <v>-3.6829999999999998</v>
      </c>
      <c r="R286" s="65">
        <v>0</v>
      </c>
      <c r="S286" s="65">
        <v>0</v>
      </c>
      <c r="T286" s="65">
        <v>0.29599999999999982</v>
      </c>
      <c r="U286" s="65">
        <v>-0.12999999999999989</v>
      </c>
      <c r="V286" s="65">
        <v>-2.7180000000000004</v>
      </c>
      <c r="W286" s="65">
        <v>1.9870000000000001</v>
      </c>
      <c r="X286" s="65">
        <v>1.8640000000000003</v>
      </c>
      <c r="Y286" s="65">
        <v>-2.3839999999999999</v>
      </c>
      <c r="Z286" s="36"/>
      <c r="AA286" s="65">
        <v>0</v>
      </c>
      <c r="AB286" s="60">
        <v>-2.38</v>
      </c>
      <c r="AC286" s="36"/>
      <c r="AD286" s="65">
        <v>-3</v>
      </c>
      <c r="AE286" s="60">
        <v>0.62</v>
      </c>
    </row>
    <row r="287" spans="1:31" ht="18" customHeight="1" x14ac:dyDescent="0.2">
      <c r="A287" s="30" t="s">
        <v>256</v>
      </c>
      <c r="B287" s="30" t="s">
        <v>22</v>
      </c>
      <c r="C287" s="4">
        <v>0</v>
      </c>
      <c r="D287" s="4">
        <v>0</v>
      </c>
      <c r="F287" s="104" t="s">
        <v>259</v>
      </c>
      <c r="G287" s="36"/>
      <c r="H287" s="65">
        <v>0</v>
      </c>
      <c r="I287" s="65">
        <v>0</v>
      </c>
      <c r="J287" s="65">
        <v>0</v>
      </c>
      <c r="K287" s="65">
        <v>0</v>
      </c>
      <c r="L287" s="65">
        <v>0</v>
      </c>
      <c r="M287" s="65">
        <v>0</v>
      </c>
      <c r="N287" s="65">
        <v>0</v>
      </c>
      <c r="O287" s="65">
        <v>0</v>
      </c>
      <c r="P287" s="65">
        <v>0</v>
      </c>
      <c r="Q287" s="65">
        <v>0</v>
      </c>
      <c r="R287" s="65">
        <v>0</v>
      </c>
      <c r="S287" s="65">
        <v>0</v>
      </c>
      <c r="T287" s="65">
        <v>0</v>
      </c>
      <c r="U287" s="65">
        <v>0</v>
      </c>
      <c r="V287" s="65">
        <v>0</v>
      </c>
      <c r="W287" s="65">
        <v>0</v>
      </c>
      <c r="X287" s="65">
        <v>0</v>
      </c>
      <c r="Y287" s="65">
        <v>0</v>
      </c>
      <c r="Z287" s="36"/>
      <c r="AA287" s="65">
        <v>0</v>
      </c>
      <c r="AB287" s="60">
        <v>0</v>
      </c>
      <c r="AC287" s="36"/>
      <c r="AD287" s="65">
        <v>0</v>
      </c>
      <c r="AE287" s="60">
        <v>0</v>
      </c>
    </row>
    <row r="288" spans="1:31" ht="18" customHeight="1" x14ac:dyDescent="0.2">
      <c r="A288" s="35"/>
      <c r="B288" s="35"/>
      <c r="C288" s="4">
        <v>-8.4179952319446846E-2</v>
      </c>
      <c r="D288" s="4">
        <v>-1.8717659205767456E-2</v>
      </c>
      <c r="F288" s="95" t="s">
        <v>87</v>
      </c>
      <c r="H288" s="64">
        <v>-145.57900000000001</v>
      </c>
      <c r="I288" s="64">
        <v>-136.13000000000002</v>
      </c>
      <c r="J288" s="64">
        <v>-136.13000000000002</v>
      </c>
      <c r="K288" s="89">
        <v>-155.619</v>
      </c>
      <c r="L288" s="89">
        <v>-165.619</v>
      </c>
      <c r="M288" s="64">
        <v>-14.600000000000001</v>
      </c>
      <c r="N288" s="64">
        <v>-14.102</v>
      </c>
      <c r="O288" s="64">
        <v>-13.182999999999998</v>
      </c>
      <c r="P288" s="64">
        <v>-12.807</v>
      </c>
      <c r="Q288" s="64">
        <v>-16.486000000000001</v>
      </c>
      <c r="R288" s="64">
        <v>-10.379999999999999</v>
      </c>
      <c r="S288" s="64">
        <v>-11.001999999999999</v>
      </c>
      <c r="T288" s="64">
        <v>-18.151000000000003</v>
      </c>
      <c r="U288" s="64">
        <v>-13.218999999999994</v>
      </c>
      <c r="V288" s="64">
        <v>-15.114000000000003</v>
      </c>
      <c r="W288" s="64">
        <v>-12.424999999999997</v>
      </c>
      <c r="X288" s="64">
        <v>-17.254000000000005</v>
      </c>
      <c r="Y288" s="64">
        <v>-168.72299999999998</v>
      </c>
      <c r="AA288" s="64">
        <v>-155.619</v>
      </c>
      <c r="AB288" s="60">
        <v>-13.1</v>
      </c>
      <c r="AD288" s="64">
        <v>-165.619</v>
      </c>
      <c r="AE288" s="60">
        <v>-3.1</v>
      </c>
    </row>
    <row r="289" spans="1:33" ht="12.95" customHeight="1" x14ac:dyDescent="0.2">
      <c r="A289" s="35"/>
      <c r="B289" s="35"/>
      <c r="C289" s="4"/>
      <c r="D289" s="4"/>
      <c r="F289" s="39" t="s">
        <v>223</v>
      </c>
      <c r="H289" s="56">
        <v>2.5773018838262308E-2</v>
      </c>
      <c r="I289" s="56">
        <v>2.2476210352100331E-2</v>
      </c>
      <c r="J289" s="56">
        <v>2.2476210352100331E-2</v>
      </c>
      <c r="K289" s="109">
        <v>2.3925270025819532E-2</v>
      </c>
      <c r="L289" s="109">
        <v>2.4571906642807749E-2</v>
      </c>
      <c r="M289" s="56">
        <v>3.1134312571438325E-2</v>
      </c>
      <c r="N289" s="56">
        <v>2.7978881916103034E-2</v>
      </c>
      <c r="O289" s="56">
        <v>2.5487398402276713E-2</v>
      </c>
      <c r="P289" s="56">
        <v>2.1843952276584314E-2</v>
      </c>
      <c r="Q289" s="56">
        <v>2.6611096404289793E-2</v>
      </c>
      <c r="R289" s="56">
        <v>1.7732010892032898E-2</v>
      </c>
      <c r="S289" s="56">
        <v>1.9782005962291561E-2</v>
      </c>
      <c r="T289" s="56">
        <v>3.2647856062363881E-2</v>
      </c>
      <c r="U289" s="56">
        <v>2.254240236286803E-2</v>
      </c>
      <c r="V289" s="56">
        <v>2.3869763387061611E-2</v>
      </c>
      <c r="W289" s="56">
        <v>2.1080009025806701E-2</v>
      </c>
      <c r="X289" s="56">
        <v>2.8445285606889911E-2</v>
      </c>
      <c r="Y289" s="56">
        <v>2.4779067523520749E-2</v>
      </c>
      <c r="AA289" s="56">
        <v>2.3925270025819532E-2</v>
      </c>
      <c r="AB289" s="57"/>
      <c r="AD289" s="56">
        <v>2.4571906642807749E-2</v>
      </c>
      <c r="AE289" s="57"/>
    </row>
    <row r="290" spans="1:33" ht="6.95" customHeight="1" x14ac:dyDescent="0.2">
      <c r="C290" s="4"/>
      <c r="D290" s="4"/>
      <c r="F290" s="96"/>
      <c r="H290" s="16"/>
      <c r="I290" s="16"/>
      <c r="J290" s="16"/>
      <c r="K290" s="85"/>
      <c r="L290" s="85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AA290" s="16"/>
      <c r="AB290" s="20"/>
      <c r="AD290" s="16"/>
      <c r="AE290" s="20"/>
    </row>
    <row r="291" spans="1:33" ht="18" customHeight="1" x14ac:dyDescent="0.2">
      <c r="A291" s="30" t="s">
        <v>19</v>
      </c>
      <c r="B291" s="30" t="s">
        <v>25</v>
      </c>
      <c r="C291" s="4">
        <v>-1.0013642564802183</v>
      </c>
      <c r="D291" s="4">
        <v>-1.0013642564802183</v>
      </c>
      <c r="F291" s="104" t="s">
        <v>255</v>
      </c>
      <c r="G291" s="36"/>
      <c r="H291" s="65">
        <v>-3.226</v>
      </c>
      <c r="I291" s="65">
        <v>-7.0579999999999998</v>
      </c>
      <c r="J291" s="65">
        <v>-7.0579999999999998</v>
      </c>
      <c r="K291" s="65">
        <v>0</v>
      </c>
      <c r="L291" s="65">
        <v>0</v>
      </c>
      <c r="M291" s="65">
        <v>0</v>
      </c>
      <c r="N291" s="65">
        <v>-1.4159999999999999</v>
      </c>
      <c r="O291" s="65">
        <v>-0.6379999999999999</v>
      </c>
      <c r="P291" s="65">
        <v>-0.26400000000000023</v>
      </c>
      <c r="Q291" s="65">
        <v>-0.36399999999999988</v>
      </c>
      <c r="R291" s="65">
        <v>0.92799999999999994</v>
      </c>
      <c r="S291" s="65">
        <v>0</v>
      </c>
      <c r="T291" s="65">
        <v>-0.54199999999999982</v>
      </c>
      <c r="U291" s="65">
        <v>-0.60099999999999998</v>
      </c>
      <c r="V291" s="65">
        <v>-0.28500000000000014</v>
      </c>
      <c r="W291" s="65">
        <v>-0.11799999999999988</v>
      </c>
      <c r="X291" s="65">
        <v>-0.36500000000000021</v>
      </c>
      <c r="Y291" s="65">
        <v>-3.665</v>
      </c>
      <c r="Z291" s="36"/>
      <c r="AA291" s="65">
        <v>0</v>
      </c>
      <c r="AB291" s="60">
        <v>-3.67</v>
      </c>
      <c r="AC291" s="36"/>
      <c r="AD291" s="65">
        <v>0</v>
      </c>
      <c r="AE291" s="60">
        <v>-3.67</v>
      </c>
    </row>
    <row r="292" spans="1:33" ht="12.95" customHeight="1" x14ac:dyDescent="0.2">
      <c r="A292" s="35"/>
      <c r="B292" s="35"/>
      <c r="C292" s="4"/>
      <c r="D292" s="4"/>
      <c r="F292" s="39" t="s">
        <v>223</v>
      </c>
      <c r="H292" s="56">
        <v>5.7112467301076528E-4</v>
      </c>
      <c r="I292" s="56">
        <v>1.1653352873365467E-3</v>
      </c>
      <c r="J292" s="56">
        <v>1.1653352873365467E-3</v>
      </c>
      <c r="K292" s="109">
        <v>0</v>
      </c>
      <c r="L292" s="109">
        <v>0</v>
      </c>
      <c r="M292" s="56">
        <v>0</v>
      </c>
      <c r="N292" s="56">
        <v>2.8093956029784351E-3</v>
      </c>
      <c r="O292" s="56">
        <v>1.233479494853413E-3</v>
      </c>
      <c r="P292" s="56">
        <v>4.5028526594973563E-4</v>
      </c>
      <c r="Q292" s="56">
        <v>5.875554465098557E-4</v>
      </c>
      <c r="R292" s="56">
        <v>-1.5852896057617081E-3</v>
      </c>
      <c r="S292" s="56">
        <v>0</v>
      </c>
      <c r="T292" s="56">
        <v>9.7488501932682583E-4</v>
      </c>
      <c r="U292" s="56">
        <v>1.0248871941965119E-3</v>
      </c>
      <c r="V292" s="56">
        <v>4.5010470856904599E-4</v>
      </c>
      <c r="W292" s="56">
        <v>2.0019646398754034E-4</v>
      </c>
      <c r="X292" s="56">
        <v>6.0174621806623511E-4</v>
      </c>
      <c r="Y292" s="56">
        <v>5.3825075700232659E-4</v>
      </c>
      <c r="AA292" s="56">
        <v>0</v>
      </c>
      <c r="AB292" s="57"/>
      <c r="AD292" s="56">
        <v>0</v>
      </c>
      <c r="AE292" s="57"/>
    </row>
    <row r="293" spans="1:33" ht="6.95" customHeight="1" x14ac:dyDescent="0.2">
      <c r="C293" s="4"/>
      <c r="D293" s="4"/>
      <c r="F293" s="96"/>
      <c r="H293" s="16"/>
      <c r="I293" s="16"/>
      <c r="J293" s="16"/>
      <c r="K293" s="85"/>
      <c r="L293" s="85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AA293" s="16"/>
      <c r="AB293" s="20"/>
      <c r="AD293" s="16"/>
      <c r="AE293" s="20"/>
    </row>
    <row r="294" spans="1:33" s="40" customFormat="1" ht="18" customHeight="1" x14ac:dyDescent="0.2">
      <c r="A294" s="35"/>
      <c r="B294" s="35"/>
      <c r="C294" s="4">
        <v>-7.0390265056234955E-2</v>
      </c>
      <c r="D294" s="4">
        <v>-3.5116630284473267E-2</v>
      </c>
      <c r="E294" s="8"/>
      <c r="F294" s="100" t="s">
        <v>279</v>
      </c>
      <c r="G294" s="8"/>
      <c r="H294" s="62">
        <v>-718.85900000000004</v>
      </c>
      <c r="I294" s="62">
        <v>-771.55</v>
      </c>
      <c r="J294" s="62">
        <v>-771.55</v>
      </c>
      <c r="K294" s="108">
        <v>-836.33724000000007</v>
      </c>
      <c r="L294" s="108">
        <v>-864.83240999999998</v>
      </c>
      <c r="M294" s="62">
        <v>-75.945999999999998</v>
      </c>
      <c r="N294" s="62">
        <v>-71.771999999999991</v>
      </c>
      <c r="O294" s="62">
        <v>-69.993000000000009</v>
      </c>
      <c r="P294" s="62">
        <v>-72.545000000000002</v>
      </c>
      <c r="Q294" s="62">
        <v>-73.159000000000034</v>
      </c>
      <c r="R294" s="62">
        <v>-71.171000000000006</v>
      </c>
      <c r="S294" s="62">
        <v>-63.98599999999999</v>
      </c>
      <c r="T294" s="62">
        <v>-72.376000000000005</v>
      </c>
      <c r="U294" s="62">
        <v>-84.942999999999998</v>
      </c>
      <c r="V294" s="62">
        <v>-77.70499999999997</v>
      </c>
      <c r="W294" s="62">
        <v>-76.401000000000039</v>
      </c>
      <c r="X294" s="62">
        <v>-85.206999999999937</v>
      </c>
      <c r="Y294" s="62">
        <v>-895.20399999999995</v>
      </c>
      <c r="Z294" s="8"/>
      <c r="AA294" s="62">
        <v>-836.33724000000018</v>
      </c>
      <c r="AB294" s="60">
        <v>-58.87</v>
      </c>
      <c r="AC294" s="8"/>
      <c r="AD294" s="62">
        <v>-864.83240999999998</v>
      </c>
      <c r="AE294" s="60">
        <v>-30.37</v>
      </c>
      <c r="AG294" s="41"/>
    </row>
    <row r="295" spans="1:33" ht="12.95" customHeight="1" x14ac:dyDescent="0.2">
      <c r="A295" s="35"/>
      <c r="B295" s="35"/>
      <c r="C295" s="4"/>
      <c r="D295" s="4"/>
      <c r="F295" s="39" t="s">
        <v>223</v>
      </c>
      <c r="H295" s="56">
        <v>0.12726537858519707</v>
      </c>
      <c r="I295" s="56">
        <v>0.12738940789806072</v>
      </c>
      <c r="J295" s="56">
        <v>0.12738940789806072</v>
      </c>
      <c r="K295" s="109">
        <v>0.12858066366991588</v>
      </c>
      <c r="L295" s="109">
        <v>0.12831004438014018</v>
      </c>
      <c r="M295" s="56">
        <v>0.16195387003770237</v>
      </c>
      <c r="N295" s="56">
        <v>0.14239826357130525</v>
      </c>
      <c r="O295" s="56">
        <v>0.13532120734055636</v>
      </c>
      <c r="P295" s="56">
        <v>0.12373463870577099</v>
      </c>
      <c r="Q295" s="56">
        <v>0.11809057393190815</v>
      </c>
      <c r="R295" s="56">
        <v>0.12158043807291653</v>
      </c>
      <c r="S295" s="56">
        <v>0.11504921227987526</v>
      </c>
      <c r="T295" s="56">
        <v>0.13018132501623317</v>
      </c>
      <c r="U295" s="56">
        <v>0.14485356561835994</v>
      </c>
      <c r="V295" s="56">
        <v>0.12272065396265856</v>
      </c>
      <c r="W295" s="56">
        <v>0.12962042411111943</v>
      </c>
      <c r="X295" s="56">
        <v>0.14047394521306747</v>
      </c>
      <c r="Y295" s="56">
        <v>0.13147182282988015</v>
      </c>
      <c r="AA295" s="56">
        <v>0.12858066366991588</v>
      </c>
      <c r="AB295" s="57"/>
      <c r="AD295" s="56">
        <v>0.12831004438014018</v>
      </c>
      <c r="AE295" s="57"/>
    </row>
    <row r="296" spans="1:33" ht="6.95" customHeight="1" x14ac:dyDescent="0.2">
      <c r="C296" s="4"/>
      <c r="D296" s="4"/>
      <c r="F296" s="96"/>
      <c r="H296" s="16"/>
      <c r="I296" s="16"/>
      <c r="J296" s="16"/>
      <c r="K296" s="85"/>
      <c r="L296" s="85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AA296" s="16"/>
      <c r="AB296" s="20"/>
      <c r="AD296" s="16"/>
      <c r="AE296" s="20"/>
    </row>
    <row r="297" spans="1:33" s="40" customFormat="1" ht="18" customHeight="1" x14ac:dyDescent="0.2">
      <c r="A297" s="35"/>
      <c r="B297" s="35"/>
      <c r="C297" s="4">
        <v>9.3574563816545719E-2</v>
      </c>
      <c r="D297" s="4">
        <v>-6.1419777737275454E-3</v>
      </c>
      <c r="E297" s="8"/>
      <c r="F297" s="101" t="s">
        <v>23</v>
      </c>
      <c r="G297" s="8"/>
      <c r="H297" s="77">
        <v>980.18299999999942</v>
      </c>
      <c r="I297" s="77">
        <v>1120.6499999999999</v>
      </c>
      <c r="J297" s="77">
        <v>1120.6499999999999</v>
      </c>
      <c r="K297" s="114">
        <v>1182.2657299999998</v>
      </c>
      <c r="L297" s="114">
        <v>1300.8838999999989</v>
      </c>
      <c r="M297" s="77">
        <v>-19.07699999999997</v>
      </c>
      <c r="N297" s="77">
        <v>31.856000000000108</v>
      </c>
      <c r="O297" s="77">
        <v>47.077000000000041</v>
      </c>
      <c r="P297" s="77">
        <v>114.14999999999999</v>
      </c>
      <c r="Q297" s="77">
        <v>268.9860000000001</v>
      </c>
      <c r="R297" s="77">
        <v>138.66899999999981</v>
      </c>
      <c r="S297" s="77">
        <v>98.947999999999979</v>
      </c>
      <c r="T297" s="77">
        <v>149.93099999999967</v>
      </c>
      <c r="U297" s="77">
        <v>102.31300000000037</v>
      </c>
      <c r="V297" s="77">
        <v>162.57500000000027</v>
      </c>
      <c r="W297" s="77">
        <v>90.638999999999584</v>
      </c>
      <c r="X297" s="77">
        <v>106.82500000000005</v>
      </c>
      <c r="Y297" s="77">
        <v>1292.8919999999996</v>
      </c>
      <c r="Z297" s="8"/>
      <c r="AA297" s="77">
        <v>1182.2657299999998</v>
      </c>
      <c r="AB297" s="60">
        <v>110.63</v>
      </c>
      <c r="AC297" s="8"/>
      <c r="AD297" s="77">
        <v>1300.8838999999989</v>
      </c>
      <c r="AE297" s="60">
        <v>-7.99</v>
      </c>
    </row>
    <row r="298" spans="1:33" ht="12.95" customHeight="1" x14ac:dyDescent="0.2">
      <c r="A298" s="35"/>
      <c r="B298" s="35"/>
      <c r="C298" s="4"/>
      <c r="D298" s="4"/>
      <c r="F298" s="39" t="s">
        <v>223</v>
      </c>
      <c r="H298" s="56">
        <v>0.17352966378354329</v>
      </c>
      <c r="I298" s="56">
        <v>0.1850287602371353</v>
      </c>
      <c r="J298" s="56">
        <v>0.1850287602371353</v>
      </c>
      <c r="K298" s="109">
        <v>0.18176460992888174</v>
      </c>
      <c r="L298" s="109">
        <v>0.19300441219867059</v>
      </c>
      <c r="M298" s="56">
        <v>-4.0681457597625197E-2</v>
      </c>
      <c r="N298" s="56">
        <v>6.3203464921243888E-2</v>
      </c>
      <c r="O298" s="56">
        <v>9.1016479904724418E-2</v>
      </c>
      <c r="P298" s="56">
        <v>0.19469720874303892</v>
      </c>
      <c r="Q298" s="56">
        <v>0.43418733333763782</v>
      </c>
      <c r="R298" s="56">
        <v>0.236886340885097</v>
      </c>
      <c r="S298" s="56">
        <v>0.17791219105224731</v>
      </c>
      <c r="T298" s="56">
        <v>0.26967801814149456</v>
      </c>
      <c r="U298" s="56">
        <v>0.17447468136410668</v>
      </c>
      <c r="V298" s="56">
        <v>0.25675709823022014</v>
      </c>
      <c r="W298" s="56">
        <v>0.15377633304547969</v>
      </c>
      <c r="X298" s="56">
        <v>0.17611380752034397</v>
      </c>
      <c r="Y298" s="56">
        <v>0.1898772435804234</v>
      </c>
      <c r="AA298" s="56">
        <v>0.18176460992888174</v>
      </c>
      <c r="AB298" s="57"/>
      <c r="AD298" s="56">
        <v>0.19300441219867059</v>
      </c>
      <c r="AE298" s="57"/>
    </row>
    <row r="299" spans="1:33" s="11" customFormat="1" ht="6.75" customHeight="1" x14ac:dyDescent="0.2">
      <c r="A299" s="8"/>
      <c r="B299" s="8"/>
      <c r="C299" s="8"/>
      <c r="D299" s="8"/>
      <c r="AF299" s="8"/>
      <c r="AG299" s="8"/>
    </row>
    <row r="300" spans="1:33" s="11" customFormat="1" ht="18" customHeight="1" x14ac:dyDescent="0.2">
      <c r="A300" s="276" t="s">
        <v>92</v>
      </c>
      <c r="B300" s="276" t="s">
        <v>17</v>
      </c>
      <c r="C300" s="253"/>
      <c r="D300" s="253"/>
      <c r="F300" s="101" t="s">
        <v>455</v>
      </c>
      <c r="G300" s="253"/>
      <c r="H300" s="77">
        <v>-6.83</v>
      </c>
      <c r="I300" s="77">
        <v>-6.4850000000000003</v>
      </c>
      <c r="J300" s="77">
        <v>-6.4850000000000003</v>
      </c>
      <c r="K300" s="114">
        <v>-6.0979999999999999</v>
      </c>
      <c r="L300" s="114">
        <v>-6.4980000000000002</v>
      </c>
      <c r="M300" s="77">
        <v>-0.46800000000000003</v>
      </c>
      <c r="N300" s="77">
        <v>-0.53899999999999992</v>
      </c>
      <c r="O300" s="77">
        <v>-0.56100000000000017</v>
      </c>
      <c r="P300" s="77">
        <v>-0.44700000000000006</v>
      </c>
      <c r="Q300" s="77">
        <v>-0.41900000000000004</v>
      </c>
      <c r="R300" s="77">
        <v>-0.40899999999999981</v>
      </c>
      <c r="S300" s="77">
        <v>-0.40600000000000014</v>
      </c>
      <c r="T300" s="77">
        <v>-0.40700000000000003</v>
      </c>
      <c r="U300" s="77">
        <v>-0.40699999999999958</v>
      </c>
      <c r="V300" s="77">
        <v>-0.34700000000000042</v>
      </c>
      <c r="W300" s="77">
        <v>-0.33399999999999963</v>
      </c>
      <c r="X300" s="77">
        <v>-0.33400000000000052</v>
      </c>
      <c r="Y300" s="77">
        <v>-5.0780000000000003</v>
      </c>
      <c r="Z300" s="253"/>
      <c r="AA300" s="77">
        <v>-6.0979999999999999</v>
      </c>
      <c r="AB300" s="256">
        <v>1.02</v>
      </c>
      <c r="AD300" s="77">
        <v>-6.4980000000000002</v>
      </c>
      <c r="AE300" s="256">
        <v>1.42</v>
      </c>
      <c r="AF300" s="253"/>
      <c r="AG300" s="253"/>
    </row>
    <row r="301" spans="1:33" s="11" customFormat="1" ht="6.75" customHeight="1" x14ac:dyDescent="0.2">
      <c r="A301" s="253"/>
      <c r="B301" s="253"/>
      <c r="C301" s="253"/>
      <c r="D301" s="253"/>
      <c r="AF301" s="253"/>
      <c r="AG301" s="253"/>
    </row>
    <row r="302" spans="1:33" s="11" customFormat="1" ht="18" customHeight="1" x14ac:dyDescent="0.2">
      <c r="A302" s="276" t="s">
        <v>457</v>
      </c>
      <c r="B302" s="276" t="s">
        <v>17</v>
      </c>
      <c r="C302" s="253"/>
      <c r="D302" s="253"/>
      <c r="F302" s="101" t="s">
        <v>456</v>
      </c>
      <c r="G302" s="253"/>
      <c r="H302" s="77">
        <v>987.01299999999901</v>
      </c>
      <c r="I302" s="77">
        <v>1127.135</v>
      </c>
      <c r="J302" s="77">
        <v>1127.135</v>
      </c>
      <c r="K302" s="114">
        <v>1188.36373</v>
      </c>
      <c r="L302" s="114">
        <v>1307.3819000000001</v>
      </c>
      <c r="M302" s="77">
        <v>-18.609000000000101</v>
      </c>
      <c r="N302" s="77">
        <v>32.395000000000003</v>
      </c>
      <c r="O302" s="77">
        <v>47.637999999999998</v>
      </c>
      <c r="P302" s="77">
        <v>114.59700000000009</v>
      </c>
      <c r="Q302" s="77">
        <v>269.40499999999906</v>
      </c>
      <c r="R302" s="77">
        <v>139.078000000001</v>
      </c>
      <c r="S302" s="77">
        <v>99.353999999999928</v>
      </c>
      <c r="T302" s="77">
        <v>150.3380000000011</v>
      </c>
      <c r="U302" s="77">
        <v>102.719999999999</v>
      </c>
      <c r="V302" s="77">
        <v>162.92199999999991</v>
      </c>
      <c r="W302" s="77">
        <v>90.972999999999956</v>
      </c>
      <c r="X302" s="77">
        <v>107.15900000000011</v>
      </c>
      <c r="Y302" s="77">
        <v>1297.97</v>
      </c>
      <c r="Z302" s="253"/>
      <c r="AA302" s="77">
        <v>1188.36373</v>
      </c>
      <c r="AB302" s="256">
        <v>109.61</v>
      </c>
      <c r="AD302" s="77">
        <v>1307.3819000000001</v>
      </c>
      <c r="AE302" s="256">
        <v>-9.41</v>
      </c>
      <c r="AF302" s="253"/>
      <c r="AG302" s="253"/>
    </row>
    <row r="303" spans="1:33" s="11" customFormat="1" x14ac:dyDescent="0.2">
      <c r="A303" s="253"/>
      <c r="B303" s="253"/>
      <c r="C303" s="253"/>
      <c r="D303" s="253"/>
      <c r="AF303" s="253"/>
      <c r="AG303" s="253"/>
    </row>
    <row r="304" spans="1:33" s="11" customFormat="1" x14ac:dyDescent="0.2">
      <c r="A304" s="8"/>
      <c r="B304" s="8"/>
      <c r="C304" s="8"/>
      <c r="D304" s="8"/>
      <c r="AF304" s="8"/>
      <c r="AG304" s="8"/>
    </row>
    <row r="305" spans="1:33" s="11" customFormat="1" x14ac:dyDescent="0.2">
      <c r="A305" s="8"/>
      <c r="B305" s="8"/>
      <c r="C305" s="8"/>
      <c r="D305" s="8"/>
      <c r="AF305" s="8"/>
      <c r="AG305" s="8"/>
    </row>
    <row r="306" spans="1:33" s="11" customFormat="1" x14ac:dyDescent="0.2">
      <c r="A306" s="8"/>
      <c r="B306" s="8"/>
      <c r="C306" s="8"/>
      <c r="D306" s="8"/>
      <c r="AF306" s="8"/>
      <c r="AG306" s="8"/>
    </row>
    <row r="307" spans="1:33" s="11" customFormat="1" x14ac:dyDescent="0.2">
      <c r="A307" s="8"/>
      <c r="B307" s="8"/>
      <c r="C307" s="8"/>
      <c r="D307" s="8"/>
      <c r="AF307" s="8"/>
      <c r="AG307" s="8"/>
    </row>
    <row r="308" spans="1:33" s="11" customFormat="1" x14ac:dyDescent="0.2">
      <c r="A308" s="8"/>
      <c r="B308" s="8"/>
      <c r="C308" s="8"/>
      <c r="D308" s="8"/>
      <c r="AF308" s="8"/>
      <c r="AG308" s="8"/>
    </row>
    <row r="309" spans="1:33" s="11" customFormat="1" x14ac:dyDescent="0.2">
      <c r="A309" s="8"/>
      <c r="B309" s="8"/>
      <c r="C309" s="8"/>
      <c r="D309" s="8"/>
      <c r="AF309" s="8"/>
      <c r="AG309" s="8"/>
    </row>
    <row r="310" spans="1:33" s="11" customFormat="1" x14ac:dyDescent="0.2">
      <c r="A310" s="8"/>
      <c r="B310" s="8"/>
      <c r="C310" s="8"/>
      <c r="D310" s="8"/>
      <c r="AF310" s="8"/>
      <c r="AG310" s="8"/>
    </row>
    <row r="311" spans="1:33" s="11" customFormat="1" x14ac:dyDescent="0.2">
      <c r="A311" s="8"/>
      <c r="B311" s="8"/>
      <c r="C311" s="8"/>
      <c r="D311" s="8"/>
      <c r="AF311" s="8"/>
      <c r="AG311" s="8"/>
    </row>
    <row r="312" spans="1:33" s="11" customFormat="1" x14ac:dyDescent="0.2">
      <c r="A312" s="8"/>
      <c r="B312" s="8"/>
      <c r="C312" s="8"/>
      <c r="D312" s="8"/>
      <c r="AF312" s="8"/>
      <c r="AG312" s="8"/>
    </row>
    <row r="313" spans="1:33" s="11" customFormat="1" x14ac:dyDescent="0.2">
      <c r="A313" s="8"/>
      <c r="B313" s="8"/>
      <c r="C313" s="8"/>
      <c r="D313" s="8"/>
      <c r="AF313" s="8"/>
      <c r="AG313" s="8"/>
    </row>
    <row r="314" spans="1:33" s="11" customFormat="1" x14ac:dyDescent="0.2">
      <c r="A314" s="8"/>
      <c r="B314" s="8"/>
      <c r="C314" s="8"/>
      <c r="D314" s="8"/>
      <c r="AF314" s="8"/>
      <c r="AG314" s="8"/>
    </row>
    <row r="315" spans="1:33" s="11" customFormat="1" x14ac:dyDescent="0.2">
      <c r="A315" s="8"/>
      <c r="B315" s="8"/>
      <c r="C315" s="8"/>
      <c r="D315" s="8"/>
      <c r="AF315" s="8"/>
      <c r="AG315" s="8"/>
    </row>
    <row r="316" spans="1:33" s="11" customFormat="1" x14ac:dyDescent="0.2">
      <c r="A316" s="8"/>
      <c r="B316" s="8"/>
      <c r="C316" s="8"/>
      <c r="D316" s="8"/>
      <c r="AF316" s="8"/>
      <c r="AG316" s="8"/>
    </row>
    <row r="317" spans="1:33" s="11" customFormat="1" x14ac:dyDescent="0.2">
      <c r="A317" s="8"/>
      <c r="B317" s="8"/>
      <c r="C317" s="8"/>
      <c r="D317" s="8"/>
      <c r="AF317" s="8"/>
      <c r="AG317" s="8"/>
    </row>
    <row r="318" spans="1:33" s="11" customFormat="1" x14ac:dyDescent="0.2">
      <c r="A318" s="8"/>
      <c r="B318" s="8"/>
      <c r="C318" s="8"/>
      <c r="D318" s="8"/>
      <c r="AF318" s="8"/>
      <c r="AG318" s="8"/>
    </row>
    <row r="319" spans="1:33" s="11" customFormat="1" x14ac:dyDescent="0.2">
      <c r="A319" s="8"/>
      <c r="B319" s="8"/>
      <c r="C319" s="8"/>
      <c r="D319" s="8"/>
      <c r="AF319" s="8"/>
      <c r="AG319" s="8"/>
    </row>
    <row r="320" spans="1:33" s="11" customFormat="1" x14ac:dyDescent="0.2">
      <c r="A320" s="8"/>
      <c r="B320" s="8"/>
      <c r="C320" s="8"/>
      <c r="D320" s="8"/>
      <c r="AF320" s="8"/>
      <c r="AG320" s="8"/>
    </row>
    <row r="321" spans="1:33" s="11" customFormat="1" x14ac:dyDescent="0.2">
      <c r="A321" s="8"/>
      <c r="B321" s="8"/>
      <c r="C321" s="8"/>
      <c r="D321" s="8"/>
      <c r="AF321" s="8"/>
      <c r="AG321" s="8"/>
    </row>
    <row r="322" spans="1:33" s="11" customFormat="1" x14ac:dyDescent="0.2">
      <c r="A322" s="8"/>
      <c r="B322" s="8"/>
      <c r="C322" s="8"/>
      <c r="D322" s="8"/>
      <c r="AF322" s="8"/>
      <c r="AG322" s="8"/>
    </row>
    <row r="323" spans="1:33" s="11" customFormat="1" x14ac:dyDescent="0.2">
      <c r="A323" s="8"/>
      <c r="B323" s="8"/>
      <c r="C323" s="8"/>
      <c r="D323" s="8"/>
      <c r="AF323" s="8"/>
      <c r="AG323" s="8"/>
    </row>
    <row r="324" spans="1:33" s="11" customFormat="1" x14ac:dyDescent="0.2">
      <c r="A324" s="8"/>
      <c r="B324" s="8"/>
      <c r="C324" s="8"/>
      <c r="D324" s="8"/>
      <c r="AF324" s="8"/>
      <c r="AG324" s="8"/>
    </row>
    <row r="325" spans="1:33" s="11" customFormat="1" x14ac:dyDescent="0.2">
      <c r="A325" s="8"/>
      <c r="B325" s="8"/>
      <c r="C325" s="8"/>
      <c r="D325" s="8"/>
      <c r="AF325" s="8"/>
      <c r="AG325" s="8"/>
    </row>
    <row r="326" spans="1:33" s="11" customFormat="1" x14ac:dyDescent="0.2">
      <c r="A326" s="8"/>
      <c r="B326" s="8"/>
      <c r="C326" s="8"/>
      <c r="D326" s="8"/>
      <c r="AF326" s="8"/>
      <c r="AG326" s="8"/>
    </row>
    <row r="327" spans="1:33" s="11" customFormat="1" x14ac:dyDescent="0.2">
      <c r="A327" s="8"/>
      <c r="B327" s="8"/>
      <c r="C327" s="8"/>
      <c r="D327" s="8"/>
      <c r="AF327" s="8"/>
      <c r="AG327" s="8"/>
    </row>
    <row r="328" spans="1:33" s="11" customFormat="1" x14ac:dyDescent="0.2">
      <c r="A328" s="8"/>
      <c r="B328" s="8"/>
      <c r="C328" s="8"/>
      <c r="D328" s="8"/>
      <c r="AF328" s="8"/>
      <c r="AG328" s="8"/>
    </row>
    <row r="329" spans="1:33" s="11" customFormat="1" x14ac:dyDescent="0.2">
      <c r="A329" s="8"/>
      <c r="B329" s="8"/>
      <c r="C329" s="8"/>
      <c r="D329" s="8"/>
      <c r="AF329" s="8"/>
      <c r="AG329" s="8"/>
    </row>
    <row r="330" spans="1:33" s="11" customFormat="1" x14ac:dyDescent="0.2">
      <c r="A330" s="8"/>
      <c r="B330" s="8"/>
      <c r="C330" s="8"/>
      <c r="D330" s="8"/>
      <c r="AF330" s="8"/>
      <c r="AG330" s="8"/>
    </row>
    <row r="331" spans="1:33" s="11" customFormat="1" x14ac:dyDescent="0.2">
      <c r="A331" s="8"/>
      <c r="B331" s="8"/>
      <c r="C331" s="8"/>
      <c r="D331" s="8"/>
      <c r="AF331" s="8"/>
      <c r="AG331" s="8"/>
    </row>
    <row r="332" spans="1:33" s="11" customFormat="1" x14ac:dyDescent="0.2">
      <c r="A332" s="8"/>
      <c r="B332" s="8"/>
      <c r="C332" s="8"/>
      <c r="D332" s="8"/>
      <c r="AF332" s="8"/>
      <c r="AG332" s="8"/>
    </row>
    <row r="333" spans="1:33" s="11" customFormat="1" x14ac:dyDescent="0.2">
      <c r="A333" s="8"/>
      <c r="B333" s="8"/>
      <c r="C333" s="8"/>
      <c r="D333" s="8"/>
      <c r="AF333" s="8"/>
      <c r="AG333" s="8"/>
    </row>
    <row r="334" spans="1:33" s="11" customFormat="1" x14ac:dyDescent="0.2">
      <c r="A334" s="8"/>
      <c r="B334" s="8"/>
      <c r="C334" s="8"/>
      <c r="D334" s="8"/>
      <c r="AF334" s="8"/>
      <c r="AG334" s="8"/>
    </row>
    <row r="335" spans="1:33" s="11" customFormat="1" x14ac:dyDescent="0.2">
      <c r="A335" s="8"/>
      <c r="B335" s="8"/>
      <c r="C335" s="8"/>
      <c r="D335" s="8"/>
      <c r="AF335" s="8"/>
      <c r="AG335" s="8"/>
    </row>
    <row r="336" spans="1:33" s="11" customFormat="1" x14ac:dyDescent="0.2">
      <c r="A336" s="8"/>
      <c r="B336" s="8"/>
      <c r="C336" s="8"/>
      <c r="D336" s="8"/>
      <c r="AF336" s="8"/>
      <c r="AG336" s="8"/>
    </row>
    <row r="337" spans="1:33" s="11" customFormat="1" x14ac:dyDescent="0.2">
      <c r="A337" s="8"/>
      <c r="B337" s="8"/>
      <c r="C337" s="8"/>
      <c r="D337" s="8"/>
      <c r="AF337" s="8"/>
      <c r="AG337" s="8"/>
    </row>
    <row r="338" spans="1:33" s="11" customFormat="1" x14ac:dyDescent="0.2">
      <c r="A338" s="8"/>
      <c r="B338" s="8"/>
      <c r="C338" s="8"/>
      <c r="D338" s="8"/>
      <c r="AF338" s="8"/>
      <c r="AG338" s="8"/>
    </row>
    <row r="339" spans="1:33" s="11" customFormat="1" x14ac:dyDescent="0.2">
      <c r="A339" s="8"/>
      <c r="B339" s="8"/>
      <c r="C339" s="8"/>
      <c r="D339" s="8"/>
      <c r="AF339" s="8"/>
      <c r="AG339" s="8"/>
    </row>
    <row r="340" spans="1:33" s="11" customFormat="1" x14ac:dyDescent="0.2">
      <c r="A340" s="8"/>
      <c r="B340" s="8"/>
      <c r="C340" s="8"/>
      <c r="D340" s="8"/>
      <c r="AF340" s="8"/>
      <c r="AG340" s="8"/>
    </row>
    <row r="341" spans="1:33" s="11" customFormat="1" x14ac:dyDescent="0.2">
      <c r="A341" s="8"/>
      <c r="B341" s="8"/>
      <c r="C341" s="8"/>
      <c r="D341" s="8"/>
      <c r="AF341" s="8"/>
      <c r="AG341" s="8"/>
    </row>
    <row r="342" spans="1:33" s="11" customFormat="1" x14ac:dyDescent="0.2">
      <c r="A342" s="8"/>
      <c r="B342" s="8"/>
      <c r="C342" s="8"/>
      <c r="D342" s="8"/>
      <c r="AF342" s="8"/>
      <c r="AG342" s="8"/>
    </row>
    <row r="343" spans="1:33" s="11" customFormat="1" x14ac:dyDescent="0.2">
      <c r="A343" s="8"/>
      <c r="B343" s="8"/>
      <c r="C343" s="8"/>
      <c r="D343" s="8"/>
      <c r="AF343" s="8"/>
      <c r="AG343" s="8"/>
    </row>
    <row r="344" spans="1:33" s="11" customFormat="1" x14ac:dyDescent="0.2">
      <c r="A344" s="8"/>
      <c r="B344" s="8"/>
      <c r="C344" s="8"/>
      <c r="D344" s="8"/>
      <c r="AF344" s="8"/>
      <c r="AG344" s="8"/>
    </row>
    <row r="345" spans="1:33" s="11" customFormat="1" x14ac:dyDescent="0.2">
      <c r="A345" s="8"/>
      <c r="B345" s="8"/>
      <c r="C345" s="8"/>
      <c r="D345" s="8"/>
      <c r="AF345" s="8"/>
      <c r="AG345" s="8"/>
    </row>
    <row r="346" spans="1:33" s="11" customFormat="1" x14ac:dyDescent="0.2">
      <c r="A346" s="8"/>
      <c r="B346" s="8"/>
      <c r="C346" s="8"/>
      <c r="D346" s="8"/>
      <c r="AF346" s="8"/>
      <c r="AG346" s="8"/>
    </row>
    <row r="347" spans="1:33" s="11" customFormat="1" x14ac:dyDescent="0.2">
      <c r="A347" s="8"/>
      <c r="B347" s="8"/>
      <c r="C347" s="8"/>
      <c r="D347" s="8"/>
      <c r="AF347" s="8"/>
      <c r="AG347" s="8"/>
    </row>
    <row r="350" spans="1:33" ht="18" customHeight="1" x14ac:dyDescent="0.2">
      <c r="A350" s="30" t="s">
        <v>287</v>
      </c>
      <c r="B350" s="30" t="s">
        <v>17</v>
      </c>
      <c r="C350" s="4">
        <v>0</v>
      </c>
      <c r="D350" s="4">
        <v>0</v>
      </c>
      <c r="F350" s="106" t="s">
        <v>288</v>
      </c>
      <c r="H350" s="61">
        <v>0</v>
      </c>
      <c r="I350" s="61">
        <v>0</v>
      </c>
      <c r="J350" s="61">
        <v>0</v>
      </c>
      <c r="K350" s="86">
        <v>0</v>
      </c>
      <c r="L350" s="86">
        <v>0</v>
      </c>
      <c r="M350" s="61">
        <v>0</v>
      </c>
      <c r="N350" s="61">
        <v>0</v>
      </c>
      <c r="O350" s="61">
        <v>0</v>
      </c>
      <c r="P350" s="61">
        <v>0</v>
      </c>
      <c r="Q350" s="61">
        <v>0</v>
      </c>
      <c r="R350" s="61">
        <v>0</v>
      </c>
      <c r="S350" s="61">
        <v>0</v>
      </c>
      <c r="T350" s="61">
        <v>0</v>
      </c>
      <c r="U350" s="61">
        <v>0</v>
      </c>
      <c r="V350" s="61">
        <v>0</v>
      </c>
      <c r="W350" s="61">
        <v>0</v>
      </c>
      <c r="X350" s="61">
        <v>0</v>
      </c>
      <c r="Y350" s="61">
        <v>0</v>
      </c>
      <c r="AA350" s="61">
        <v>0</v>
      </c>
      <c r="AB350" s="20"/>
      <c r="AD350" s="61">
        <v>0</v>
      </c>
      <c r="AE350" s="20"/>
    </row>
    <row r="351" spans="1:33" ht="18" hidden="1" customHeight="1" outlineLevel="1" x14ac:dyDescent="0.2">
      <c r="A351" s="30" t="s">
        <v>291</v>
      </c>
      <c r="B351" s="30" t="s">
        <v>17</v>
      </c>
      <c r="C351" s="4">
        <v>0</v>
      </c>
      <c r="D351" s="4">
        <v>0</v>
      </c>
      <c r="F351" s="106" t="s">
        <v>290</v>
      </c>
      <c r="H351" s="61">
        <v>1026.2650000000001</v>
      </c>
      <c r="I351" s="61">
        <v>1079.6479999999999</v>
      </c>
      <c r="J351" s="61">
        <v>1079.6479999999999</v>
      </c>
      <c r="K351" s="86">
        <v>1214.03</v>
      </c>
      <c r="L351" s="86">
        <v>1182.5619999999999</v>
      </c>
      <c r="M351" s="61">
        <v>99.549000000000007</v>
      </c>
      <c r="N351" s="61">
        <v>199.24199999999999</v>
      </c>
      <c r="O351" s="61">
        <v>309.95400000000001</v>
      </c>
      <c r="P351" s="61">
        <v>400.637</v>
      </c>
      <c r="Q351" s="61">
        <v>473.60899999999998</v>
      </c>
      <c r="R351" s="61">
        <v>575.06799999999998</v>
      </c>
      <c r="S351" s="61">
        <v>648.50099999999998</v>
      </c>
      <c r="T351" s="61">
        <v>738.94899999999996</v>
      </c>
      <c r="U351" s="61">
        <v>836.42899999999997</v>
      </c>
      <c r="V351" s="61">
        <v>945.774</v>
      </c>
      <c r="W351" s="61">
        <v>1048.5650000000001</v>
      </c>
      <c r="X351" s="61">
        <v>1130.2909999999999</v>
      </c>
      <c r="Y351" s="61">
        <v>1130.2909999999999</v>
      </c>
      <c r="AA351" s="61">
        <v>1214.03</v>
      </c>
      <c r="AB351" s="20"/>
      <c r="AD351" s="61">
        <v>1182.5619999999999</v>
      </c>
      <c r="AE351" s="20"/>
    </row>
    <row r="352" spans="1:33" ht="18" customHeight="1" collapsed="1" x14ac:dyDescent="0.2">
      <c r="A352" s="30" t="s">
        <v>287</v>
      </c>
      <c r="B352" s="30" t="s">
        <v>17</v>
      </c>
      <c r="C352" s="4">
        <v>0</v>
      </c>
      <c r="D352" s="4">
        <v>0</v>
      </c>
      <c r="F352" s="107" t="s">
        <v>289</v>
      </c>
      <c r="H352" s="78">
        <v>0</v>
      </c>
      <c r="I352" s="78">
        <v>0</v>
      </c>
      <c r="J352" s="78">
        <v>0</v>
      </c>
      <c r="K352" s="87">
        <v>0</v>
      </c>
      <c r="L352" s="87">
        <v>0</v>
      </c>
      <c r="M352" s="78">
        <v>0</v>
      </c>
      <c r="N352" s="78">
        <v>0</v>
      </c>
      <c r="O352" s="78">
        <v>0</v>
      </c>
      <c r="P352" s="78">
        <v>0</v>
      </c>
      <c r="Q352" s="78">
        <v>0</v>
      </c>
      <c r="R352" s="78">
        <v>0</v>
      </c>
      <c r="S352" s="78">
        <v>0</v>
      </c>
      <c r="T352" s="78">
        <v>0</v>
      </c>
      <c r="U352" s="78">
        <v>0</v>
      </c>
      <c r="V352" s="78">
        <v>0</v>
      </c>
      <c r="W352" s="78">
        <v>0</v>
      </c>
      <c r="X352" s="78">
        <v>0</v>
      </c>
      <c r="Y352" s="78">
        <v>0</v>
      </c>
      <c r="AA352" s="78">
        <v>0</v>
      </c>
      <c r="AB352" s="20"/>
      <c r="AD352" s="78">
        <v>0</v>
      </c>
      <c r="AE352" s="20"/>
    </row>
    <row r="353" spans="1:31" ht="15" x14ac:dyDescent="0.2">
      <c r="A353" s="4"/>
      <c r="B353" s="4"/>
      <c r="C353" s="4"/>
      <c r="D353" s="4"/>
      <c r="F353" s="96"/>
      <c r="H353" s="16"/>
      <c r="I353" s="16"/>
      <c r="J353" s="16"/>
      <c r="K353" s="85"/>
      <c r="L353" s="85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AA353" s="16"/>
      <c r="AB353" s="20"/>
      <c r="AD353" s="16"/>
      <c r="AE353" s="20"/>
    </row>
    <row r="354" spans="1:31" ht="18" customHeight="1" x14ac:dyDescent="0.2">
      <c r="A354" s="30" t="s">
        <v>293</v>
      </c>
      <c r="B354" s="30" t="s">
        <v>17</v>
      </c>
      <c r="C354" s="4">
        <v>0</v>
      </c>
      <c r="D354" s="4">
        <v>0</v>
      </c>
      <c r="F354" s="106" t="s">
        <v>357</v>
      </c>
      <c r="H354" s="61">
        <v>0</v>
      </c>
      <c r="I354" s="61">
        <v>0</v>
      </c>
      <c r="J354" s="61">
        <v>0</v>
      </c>
      <c r="K354" s="88"/>
      <c r="L354" s="88"/>
      <c r="M354" s="61">
        <v>0</v>
      </c>
      <c r="N354" s="61">
        <v>0</v>
      </c>
      <c r="O354" s="61">
        <v>0</v>
      </c>
      <c r="P354" s="61">
        <v>0</v>
      </c>
      <c r="Q354" s="61">
        <v>0</v>
      </c>
      <c r="R354" s="61">
        <v>0</v>
      </c>
      <c r="S354" s="61">
        <v>0</v>
      </c>
      <c r="T354" s="61">
        <v>0</v>
      </c>
      <c r="U354" s="61">
        <v>0</v>
      </c>
      <c r="V354" s="61">
        <v>0</v>
      </c>
      <c r="W354" s="61">
        <v>0</v>
      </c>
      <c r="X354" s="61">
        <v>0</v>
      </c>
      <c r="Y354" s="61">
        <v>0</v>
      </c>
      <c r="AA354" s="16"/>
      <c r="AB354" s="20"/>
      <c r="AD354" s="16"/>
      <c r="AE354" s="20"/>
    </row>
    <row r="355" spans="1:31" ht="18" customHeight="1" x14ac:dyDescent="0.2">
      <c r="A355" s="30" t="s">
        <v>294</v>
      </c>
      <c r="B355" s="30" t="s">
        <v>17</v>
      </c>
      <c r="C355" s="4">
        <v>0</v>
      </c>
      <c r="D355" s="4">
        <v>0</v>
      </c>
      <c r="F355" s="106" t="s">
        <v>358</v>
      </c>
      <c r="H355" s="61">
        <v>0</v>
      </c>
      <c r="I355" s="61">
        <v>0</v>
      </c>
      <c r="J355" s="61">
        <v>0</v>
      </c>
      <c r="K355" s="88"/>
      <c r="L355" s="88"/>
      <c r="M355" s="61">
        <v>0</v>
      </c>
      <c r="N355" s="61">
        <v>0</v>
      </c>
      <c r="O355" s="61">
        <v>0</v>
      </c>
      <c r="P355" s="61">
        <v>0</v>
      </c>
      <c r="Q355" s="61">
        <v>0</v>
      </c>
      <c r="R355" s="61">
        <v>0</v>
      </c>
      <c r="S355" s="61">
        <v>0</v>
      </c>
      <c r="T355" s="61">
        <v>0</v>
      </c>
      <c r="U355" s="61">
        <v>0</v>
      </c>
      <c r="V355" s="61">
        <v>0</v>
      </c>
      <c r="W355" s="61">
        <v>0</v>
      </c>
      <c r="X355" s="61">
        <v>0</v>
      </c>
      <c r="Y355" s="61">
        <v>0</v>
      </c>
      <c r="AA355" s="16"/>
      <c r="AB355" s="20"/>
      <c r="AD355" s="16"/>
      <c r="AE355" s="20"/>
    </row>
    <row r="356" spans="1:31" ht="18" customHeight="1" x14ac:dyDescent="0.2">
      <c r="A356" s="30" t="s">
        <v>295</v>
      </c>
      <c r="B356" s="30" t="s">
        <v>17</v>
      </c>
      <c r="C356" s="4">
        <v>0</v>
      </c>
      <c r="D356" s="4">
        <v>0</v>
      </c>
      <c r="F356" s="106" t="s">
        <v>359</v>
      </c>
      <c r="H356" s="61">
        <v>0</v>
      </c>
      <c r="I356" s="61">
        <v>0</v>
      </c>
      <c r="J356" s="61">
        <v>0</v>
      </c>
      <c r="K356" s="88"/>
      <c r="L356" s="88"/>
      <c r="M356" s="61">
        <v>0</v>
      </c>
      <c r="N356" s="61">
        <v>0</v>
      </c>
      <c r="O356" s="61">
        <v>0</v>
      </c>
      <c r="P356" s="61">
        <v>0</v>
      </c>
      <c r="Q356" s="61">
        <v>0</v>
      </c>
      <c r="R356" s="61">
        <v>0</v>
      </c>
      <c r="S356" s="61">
        <v>0</v>
      </c>
      <c r="T356" s="61">
        <v>0</v>
      </c>
      <c r="U356" s="61">
        <v>0</v>
      </c>
      <c r="V356" s="61">
        <v>0</v>
      </c>
      <c r="W356" s="61">
        <v>0</v>
      </c>
      <c r="X356" s="61">
        <v>0</v>
      </c>
      <c r="Y356" s="61">
        <v>0</v>
      </c>
      <c r="AA356" s="16"/>
      <c r="AB356" s="20"/>
      <c r="AD356" s="16"/>
      <c r="AE356" s="20"/>
    </row>
    <row r="357" spans="1:31" ht="18" customHeight="1" x14ac:dyDescent="0.2">
      <c r="A357" s="30" t="s">
        <v>296</v>
      </c>
      <c r="B357" s="30" t="s">
        <v>17</v>
      </c>
      <c r="C357" s="4">
        <v>0</v>
      </c>
      <c r="D357" s="4">
        <v>0</v>
      </c>
      <c r="F357" s="106" t="s">
        <v>360</v>
      </c>
      <c r="H357" s="61">
        <v>0</v>
      </c>
      <c r="I357" s="61">
        <v>0</v>
      </c>
      <c r="J357" s="61">
        <v>0</v>
      </c>
      <c r="K357" s="88"/>
      <c r="L357" s="88"/>
      <c r="M357" s="61">
        <v>0</v>
      </c>
      <c r="N357" s="61">
        <v>0</v>
      </c>
      <c r="O357" s="61">
        <v>0</v>
      </c>
      <c r="P357" s="61">
        <v>0</v>
      </c>
      <c r="Q357" s="61">
        <v>0</v>
      </c>
      <c r="R357" s="61">
        <v>0</v>
      </c>
      <c r="S357" s="61">
        <v>0</v>
      </c>
      <c r="T357" s="61">
        <v>0</v>
      </c>
      <c r="U357" s="61">
        <v>0</v>
      </c>
      <c r="V357" s="61">
        <v>0</v>
      </c>
      <c r="W357" s="61">
        <v>0</v>
      </c>
      <c r="X357" s="61">
        <v>0</v>
      </c>
      <c r="Y357" s="61">
        <v>0</v>
      </c>
      <c r="AA357" s="16"/>
      <c r="AB357" s="20"/>
      <c r="AD357" s="16"/>
      <c r="AE357" s="20"/>
    </row>
    <row r="358" spans="1:31" ht="18" customHeight="1" x14ac:dyDescent="0.2">
      <c r="A358" s="30" t="s">
        <v>297</v>
      </c>
      <c r="B358" s="30" t="s">
        <v>17</v>
      </c>
      <c r="C358" s="4">
        <v>0</v>
      </c>
      <c r="D358" s="4">
        <v>0</v>
      </c>
      <c r="F358" s="106" t="s">
        <v>361</v>
      </c>
      <c r="H358" s="61">
        <v>0</v>
      </c>
      <c r="I358" s="61">
        <v>0</v>
      </c>
      <c r="J358" s="61">
        <v>0</v>
      </c>
      <c r="K358" s="88"/>
      <c r="L358" s="88"/>
      <c r="M358" s="61">
        <v>0</v>
      </c>
      <c r="N358" s="61">
        <v>0</v>
      </c>
      <c r="O358" s="61">
        <v>0</v>
      </c>
      <c r="P358" s="61">
        <v>0</v>
      </c>
      <c r="Q358" s="61">
        <v>0</v>
      </c>
      <c r="R358" s="61">
        <v>0</v>
      </c>
      <c r="S358" s="61">
        <v>0</v>
      </c>
      <c r="T358" s="61">
        <v>0</v>
      </c>
      <c r="U358" s="61">
        <v>0</v>
      </c>
      <c r="V358" s="61">
        <v>0</v>
      </c>
      <c r="W358" s="61">
        <v>0</v>
      </c>
      <c r="X358" s="61">
        <v>0</v>
      </c>
      <c r="Y358" s="61">
        <v>0</v>
      </c>
      <c r="AA358" s="16"/>
      <c r="AB358" s="20"/>
      <c r="AD358" s="16"/>
      <c r="AE358" s="20"/>
    </row>
    <row r="359" spans="1:31" ht="18" customHeight="1" collapsed="1" x14ac:dyDescent="0.2">
      <c r="A359" s="30" t="s">
        <v>292</v>
      </c>
      <c r="B359" s="30" t="s">
        <v>17</v>
      </c>
      <c r="C359" s="4">
        <v>0</v>
      </c>
      <c r="D359" s="4">
        <v>0</v>
      </c>
      <c r="F359" s="107" t="s">
        <v>362</v>
      </c>
      <c r="H359" s="79">
        <v>0</v>
      </c>
      <c r="I359" s="79">
        <v>0</v>
      </c>
      <c r="J359" s="79">
        <v>0</v>
      </c>
      <c r="K359" s="89"/>
      <c r="L359" s="89"/>
      <c r="M359" s="79">
        <v>0</v>
      </c>
      <c r="N359" s="79">
        <v>0</v>
      </c>
      <c r="O359" s="79">
        <v>0</v>
      </c>
      <c r="P359" s="79">
        <v>0</v>
      </c>
      <c r="Q359" s="79">
        <v>0</v>
      </c>
      <c r="R359" s="79">
        <v>0</v>
      </c>
      <c r="S359" s="79">
        <v>0</v>
      </c>
      <c r="T359" s="79">
        <v>0</v>
      </c>
      <c r="U359" s="79">
        <v>0</v>
      </c>
      <c r="V359" s="79">
        <v>0</v>
      </c>
      <c r="W359" s="79">
        <v>0</v>
      </c>
      <c r="X359" s="79">
        <v>0</v>
      </c>
      <c r="Y359" s="79">
        <v>0</v>
      </c>
      <c r="AA359" s="16"/>
      <c r="AB359" s="20"/>
      <c r="AD359" s="16"/>
      <c r="AE359" s="20"/>
    </row>
    <row r="360" spans="1:31" ht="15" x14ac:dyDescent="0.2">
      <c r="A360" s="4"/>
      <c r="B360" s="4"/>
      <c r="C360" s="4"/>
      <c r="D360" s="4"/>
      <c r="F360" s="96"/>
      <c r="H360" s="16"/>
      <c r="I360" s="16"/>
      <c r="J360" s="16"/>
      <c r="K360" s="85"/>
      <c r="L360" s="85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AA360" s="16"/>
      <c r="AB360" s="20"/>
      <c r="AD360" s="16"/>
      <c r="AE360" s="20"/>
    </row>
    <row r="361" spans="1:31" ht="18" hidden="1" customHeight="1" outlineLevel="1" x14ac:dyDescent="0.2">
      <c r="A361" s="30" t="s">
        <v>112</v>
      </c>
      <c r="B361" s="30" t="s">
        <v>17</v>
      </c>
      <c r="C361" s="4">
        <v>0</v>
      </c>
      <c r="D361" s="4">
        <v>0</v>
      </c>
      <c r="F361" s="50" t="s">
        <v>113</v>
      </c>
      <c r="H361" s="60">
        <v>0</v>
      </c>
      <c r="I361" s="60">
        <v>0</v>
      </c>
      <c r="J361" s="60">
        <v>0</v>
      </c>
      <c r="K361" s="90">
        <v>0</v>
      </c>
      <c r="L361" s="90">
        <v>0</v>
      </c>
      <c r="M361" s="60">
        <v>0</v>
      </c>
      <c r="N361" s="60">
        <v>0</v>
      </c>
      <c r="O361" s="60">
        <v>0</v>
      </c>
      <c r="P361" s="60">
        <v>0</v>
      </c>
      <c r="Q361" s="60">
        <v>0</v>
      </c>
      <c r="R361" s="60">
        <v>0</v>
      </c>
      <c r="S361" s="60">
        <v>0</v>
      </c>
      <c r="T361" s="60">
        <v>0</v>
      </c>
      <c r="U361" s="60">
        <v>0</v>
      </c>
      <c r="V361" s="60">
        <v>0</v>
      </c>
      <c r="W361" s="60">
        <v>0</v>
      </c>
      <c r="X361" s="60">
        <v>0</v>
      </c>
      <c r="Y361" s="60">
        <v>0</v>
      </c>
      <c r="AA361" s="60">
        <v>0</v>
      </c>
      <c r="AB361" s="60">
        <v>0</v>
      </c>
      <c r="AD361" s="60">
        <v>0</v>
      </c>
      <c r="AE361" s="60">
        <v>0</v>
      </c>
    </row>
    <row r="362" spans="1:31" ht="12.95" hidden="1" customHeight="1" outlineLevel="1" x14ac:dyDescent="0.2">
      <c r="A362" s="35"/>
      <c r="B362" s="35"/>
      <c r="C362" s="4"/>
      <c r="D362" s="4"/>
      <c r="F362" s="51" t="s">
        <v>114</v>
      </c>
      <c r="H362" s="80">
        <v>0</v>
      </c>
      <c r="I362" s="80">
        <v>0</v>
      </c>
      <c r="J362" s="80">
        <v>0</v>
      </c>
      <c r="K362" s="91">
        <v>0</v>
      </c>
      <c r="L362" s="91">
        <v>0</v>
      </c>
      <c r="M362" s="80">
        <v>0</v>
      </c>
      <c r="N362" s="80">
        <v>0</v>
      </c>
      <c r="O362" s="80">
        <v>0</v>
      </c>
      <c r="P362" s="80">
        <v>0</v>
      </c>
      <c r="Q362" s="80">
        <v>0</v>
      </c>
      <c r="R362" s="80">
        <v>0</v>
      </c>
      <c r="S362" s="80">
        <v>0</v>
      </c>
      <c r="T362" s="80">
        <v>0</v>
      </c>
      <c r="U362" s="80">
        <v>0</v>
      </c>
      <c r="V362" s="80">
        <v>0</v>
      </c>
      <c r="W362" s="80">
        <v>0</v>
      </c>
      <c r="X362" s="80">
        <v>0</v>
      </c>
      <c r="Y362" s="80">
        <v>0</v>
      </c>
      <c r="AA362" s="80">
        <v>0</v>
      </c>
      <c r="AB362" s="69"/>
      <c r="AD362" s="80">
        <v>0</v>
      </c>
      <c r="AE362" s="69"/>
    </row>
    <row r="363" spans="1:31" ht="18" hidden="1" customHeight="1" outlineLevel="1" x14ac:dyDescent="0.2">
      <c r="A363" s="33" t="s">
        <v>100</v>
      </c>
      <c r="B363" s="33" t="s">
        <v>17</v>
      </c>
      <c r="C363" s="4"/>
      <c r="D363" s="4"/>
      <c r="F363" s="38" t="s">
        <v>103</v>
      </c>
      <c r="H363" s="66">
        <v>0</v>
      </c>
      <c r="I363" s="66">
        <v>0</v>
      </c>
      <c r="J363" s="66">
        <v>0</v>
      </c>
      <c r="K363" s="86">
        <v>0</v>
      </c>
      <c r="L363" s="86">
        <v>0</v>
      </c>
      <c r="M363" s="66">
        <v>0</v>
      </c>
      <c r="N363" s="66">
        <v>0</v>
      </c>
      <c r="O363" s="66">
        <v>0</v>
      </c>
      <c r="P363" s="66">
        <v>0</v>
      </c>
      <c r="Q363" s="66">
        <v>0</v>
      </c>
      <c r="R363" s="66">
        <v>0</v>
      </c>
      <c r="S363" s="66">
        <v>0</v>
      </c>
      <c r="T363" s="66">
        <v>0</v>
      </c>
      <c r="U363" s="66">
        <v>0</v>
      </c>
      <c r="V363" s="66">
        <v>0</v>
      </c>
      <c r="W363" s="66">
        <v>0</v>
      </c>
      <c r="X363" s="66">
        <v>0</v>
      </c>
      <c r="Y363" s="66">
        <v>0</v>
      </c>
      <c r="AA363" s="66">
        <v>0</v>
      </c>
      <c r="AB363" s="60">
        <v>0</v>
      </c>
      <c r="AD363" s="66">
        <v>0</v>
      </c>
      <c r="AE363" s="60">
        <v>0</v>
      </c>
    </row>
    <row r="364" spans="1:31" ht="18" hidden="1" customHeight="1" outlineLevel="1" x14ac:dyDescent="0.2">
      <c r="A364" s="33" t="s">
        <v>101</v>
      </c>
      <c r="B364" s="33" t="s">
        <v>102</v>
      </c>
      <c r="C364" s="4"/>
      <c r="D364" s="4"/>
      <c r="F364" s="38" t="s">
        <v>104</v>
      </c>
      <c r="H364" s="66">
        <v>0</v>
      </c>
      <c r="I364" s="66">
        <v>0</v>
      </c>
      <c r="J364" s="66">
        <v>0</v>
      </c>
      <c r="K364" s="86">
        <v>0</v>
      </c>
      <c r="L364" s="86">
        <v>0</v>
      </c>
      <c r="M364" s="66">
        <v>0</v>
      </c>
      <c r="N364" s="66">
        <v>0</v>
      </c>
      <c r="O364" s="66">
        <v>0</v>
      </c>
      <c r="P364" s="66">
        <v>0</v>
      </c>
      <c r="Q364" s="66">
        <v>0</v>
      </c>
      <c r="R364" s="66">
        <v>0</v>
      </c>
      <c r="S364" s="66">
        <v>0</v>
      </c>
      <c r="T364" s="66">
        <v>0</v>
      </c>
      <c r="U364" s="66">
        <v>0</v>
      </c>
      <c r="V364" s="66">
        <v>0</v>
      </c>
      <c r="W364" s="66">
        <v>0</v>
      </c>
      <c r="X364" s="66">
        <v>0</v>
      </c>
      <c r="Y364" s="66">
        <v>0</v>
      </c>
      <c r="AA364" s="66">
        <v>0</v>
      </c>
      <c r="AB364" s="60">
        <v>0</v>
      </c>
      <c r="AD364" s="66">
        <v>0</v>
      </c>
      <c r="AE364" s="60">
        <v>0</v>
      </c>
    </row>
    <row r="365" spans="1:31" ht="18" customHeight="1" collapsed="1" x14ac:dyDescent="0.2">
      <c r="A365" s="32"/>
      <c r="B365" s="32"/>
      <c r="C365" s="4">
        <v>0</v>
      </c>
      <c r="D365" s="4">
        <v>0</v>
      </c>
      <c r="F365" s="107" t="s">
        <v>105</v>
      </c>
      <c r="G365" s="7"/>
      <c r="H365" s="58">
        <v>0</v>
      </c>
      <c r="I365" s="58">
        <v>0</v>
      </c>
      <c r="J365" s="58">
        <v>0</v>
      </c>
      <c r="K365" s="92">
        <v>0</v>
      </c>
      <c r="L365" s="92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AA365" s="58">
        <v>0</v>
      </c>
      <c r="AB365" s="60">
        <v>0</v>
      </c>
      <c r="AD365" s="58">
        <v>0</v>
      </c>
      <c r="AE365" s="60">
        <v>0</v>
      </c>
    </row>
    <row r="366" spans="1:31" ht="18" customHeight="1" x14ac:dyDescent="0.2">
      <c r="A366" s="32"/>
      <c r="B366" s="32"/>
      <c r="C366" s="4"/>
      <c r="D366" s="4"/>
      <c r="F366" s="191" t="s">
        <v>402</v>
      </c>
      <c r="G366" s="7"/>
      <c r="H366" s="194">
        <v>0</v>
      </c>
      <c r="I366" s="194">
        <v>0</v>
      </c>
      <c r="J366" s="194">
        <v>0</v>
      </c>
      <c r="K366" s="194">
        <v>0</v>
      </c>
      <c r="L366" s="194">
        <v>0</v>
      </c>
      <c r="M366" s="194">
        <v>0</v>
      </c>
      <c r="N366" s="194">
        <v>0</v>
      </c>
      <c r="O366" s="194">
        <v>0</v>
      </c>
      <c r="P366" s="194">
        <v>0</v>
      </c>
      <c r="Q366" s="194">
        <v>0</v>
      </c>
      <c r="R366" s="194">
        <v>0</v>
      </c>
      <c r="S366" s="194">
        <v>0</v>
      </c>
      <c r="T366" s="194">
        <v>0</v>
      </c>
      <c r="U366" s="194">
        <v>0</v>
      </c>
      <c r="V366" s="194">
        <v>0</v>
      </c>
      <c r="W366" s="194">
        <v>0</v>
      </c>
      <c r="X366" s="194">
        <v>0</v>
      </c>
      <c r="Y366" s="194">
        <v>0</v>
      </c>
      <c r="AA366" s="20"/>
      <c r="AB366" s="190"/>
      <c r="AD366" s="190"/>
      <c r="AE366" s="190"/>
    </row>
    <row r="367" spans="1:31" ht="18" hidden="1" customHeight="1" outlineLevel="1" x14ac:dyDescent="0.2">
      <c r="A367" s="192" t="s">
        <v>101</v>
      </c>
      <c r="B367" s="192" t="s">
        <v>403</v>
      </c>
      <c r="C367" s="4"/>
      <c r="D367" s="4"/>
      <c r="F367" s="193" t="s">
        <v>404</v>
      </c>
      <c r="G367" s="7"/>
      <c r="H367" s="66">
        <v>0</v>
      </c>
      <c r="I367" s="66">
        <v>0</v>
      </c>
      <c r="J367" s="66">
        <v>0</v>
      </c>
      <c r="K367" s="86">
        <v>0</v>
      </c>
      <c r="L367" s="86">
        <v>0</v>
      </c>
      <c r="M367" s="66">
        <v>0</v>
      </c>
      <c r="N367" s="66">
        <v>0</v>
      </c>
      <c r="O367" s="66">
        <v>0</v>
      </c>
      <c r="P367" s="66">
        <v>0</v>
      </c>
      <c r="Q367" s="66">
        <v>0</v>
      </c>
      <c r="R367" s="66">
        <v>0</v>
      </c>
      <c r="S367" s="66">
        <v>0</v>
      </c>
      <c r="T367" s="66">
        <v>0</v>
      </c>
      <c r="U367" s="66">
        <v>0</v>
      </c>
      <c r="V367" s="66">
        <v>0</v>
      </c>
      <c r="W367" s="66">
        <v>0</v>
      </c>
      <c r="X367" s="66">
        <v>0</v>
      </c>
      <c r="Y367" s="66">
        <v>0</v>
      </c>
      <c r="AA367" s="20"/>
      <c r="AB367" s="190"/>
      <c r="AD367" s="189"/>
      <c r="AE367" s="190"/>
    </row>
    <row r="368" spans="1:31" ht="18" hidden="1" customHeight="1" outlineLevel="1" x14ac:dyDescent="0.2">
      <c r="A368" s="192" t="s">
        <v>405</v>
      </c>
      <c r="B368" s="192" t="s">
        <v>17</v>
      </c>
      <c r="C368" s="4"/>
      <c r="D368" s="4"/>
      <c r="F368" s="193" t="s">
        <v>406</v>
      </c>
      <c r="G368" s="7"/>
      <c r="H368" s="66">
        <v>0</v>
      </c>
      <c r="I368" s="66">
        <v>0</v>
      </c>
      <c r="J368" s="66">
        <v>0</v>
      </c>
      <c r="K368" s="86">
        <v>0</v>
      </c>
      <c r="L368" s="86">
        <v>0</v>
      </c>
      <c r="M368" s="66">
        <v>0</v>
      </c>
      <c r="N368" s="66">
        <v>0</v>
      </c>
      <c r="O368" s="66">
        <v>0</v>
      </c>
      <c r="P368" s="66">
        <v>0</v>
      </c>
      <c r="Q368" s="66">
        <v>0</v>
      </c>
      <c r="R368" s="66">
        <v>0</v>
      </c>
      <c r="S368" s="66">
        <v>0</v>
      </c>
      <c r="T368" s="66">
        <v>0</v>
      </c>
      <c r="U368" s="66">
        <v>0</v>
      </c>
      <c r="V368" s="66">
        <v>0</v>
      </c>
      <c r="W368" s="66">
        <v>0</v>
      </c>
      <c r="X368" s="66">
        <v>0</v>
      </c>
      <c r="Y368" s="66">
        <v>0</v>
      </c>
      <c r="AA368" s="20"/>
      <c r="AB368" s="190"/>
      <c r="AD368" s="189"/>
      <c r="AE368" s="190"/>
    </row>
    <row r="369" spans="1:33" ht="18" customHeight="1" collapsed="1" x14ac:dyDescent="0.2">
      <c r="A369" s="32"/>
      <c r="B369" s="32"/>
      <c r="C369" s="4"/>
      <c r="D369" s="4"/>
      <c r="F369" s="191" t="s">
        <v>407</v>
      </c>
      <c r="G369" s="7"/>
      <c r="H369" s="194">
        <v>0</v>
      </c>
      <c r="I369" s="194">
        <v>0</v>
      </c>
      <c r="J369" s="194">
        <v>0</v>
      </c>
      <c r="K369" s="194">
        <v>0</v>
      </c>
      <c r="L369" s="194">
        <v>0</v>
      </c>
      <c r="M369" s="194">
        <v>0</v>
      </c>
      <c r="N369" s="194">
        <v>0</v>
      </c>
      <c r="O369" s="194">
        <v>0</v>
      </c>
      <c r="P369" s="194">
        <v>0</v>
      </c>
      <c r="Q369" s="194">
        <v>0</v>
      </c>
      <c r="R369" s="194">
        <v>0</v>
      </c>
      <c r="S369" s="194">
        <v>0</v>
      </c>
      <c r="T369" s="194">
        <v>0</v>
      </c>
      <c r="U369" s="194">
        <v>0</v>
      </c>
      <c r="V369" s="194">
        <v>0</v>
      </c>
      <c r="W369" s="194">
        <v>0</v>
      </c>
      <c r="X369" s="194">
        <v>0</v>
      </c>
      <c r="Y369" s="194">
        <v>0</v>
      </c>
      <c r="AA369" s="20"/>
      <c r="AB369" s="190"/>
      <c r="AD369" s="190"/>
      <c r="AE369" s="190"/>
    </row>
    <row r="370" spans="1:33" ht="18" customHeight="1" x14ac:dyDescent="0.2">
      <c r="A370" s="30" t="s">
        <v>106</v>
      </c>
      <c r="B370" s="30" t="s">
        <v>17</v>
      </c>
      <c r="C370" s="4"/>
      <c r="D370" s="4"/>
      <c r="F370" s="106" t="s">
        <v>108</v>
      </c>
      <c r="H370" s="61">
        <v>0</v>
      </c>
      <c r="I370" s="61">
        <v>0</v>
      </c>
      <c r="J370" s="61">
        <v>0</v>
      </c>
      <c r="K370" s="86"/>
      <c r="L370" s="86"/>
      <c r="M370" s="61">
        <v>0</v>
      </c>
      <c r="N370" s="61">
        <v>0</v>
      </c>
      <c r="O370" s="61">
        <v>0</v>
      </c>
      <c r="P370" s="61">
        <v>0</v>
      </c>
      <c r="Q370" s="61">
        <v>0</v>
      </c>
      <c r="R370" s="61">
        <v>0</v>
      </c>
      <c r="S370" s="61">
        <v>0</v>
      </c>
      <c r="T370" s="61">
        <v>0</v>
      </c>
      <c r="U370" s="61">
        <v>0</v>
      </c>
      <c r="V370" s="61">
        <v>0</v>
      </c>
      <c r="W370" s="61">
        <v>0</v>
      </c>
      <c r="X370" s="61">
        <v>0</v>
      </c>
      <c r="Y370" s="61">
        <v>0</v>
      </c>
      <c r="AA370" s="20"/>
      <c r="AB370" s="16"/>
      <c r="AD370" s="20"/>
      <c r="AE370" s="16"/>
    </row>
    <row r="371" spans="1:33" ht="18" customHeight="1" x14ac:dyDescent="0.2">
      <c r="A371" s="30" t="s">
        <v>107</v>
      </c>
      <c r="B371" s="30" t="s">
        <v>17</v>
      </c>
      <c r="C371" s="4"/>
      <c r="D371" s="4"/>
      <c r="F371" s="106" t="s">
        <v>109</v>
      </c>
      <c r="H371" s="61">
        <v>0</v>
      </c>
      <c r="I371" s="61">
        <v>0</v>
      </c>
      <c r="J371" s="61">
        <v>0</v>
      </c>
      <c r="K371" s="86"/>
      <c r="L371" s="86"/>
      <c r="M371" s="61">
        <v>0</v>
      </c>
      <c r="N371" s="61">
        <v>0</v>
      </c>
      <c r="O371" s="61">
        <v>0</v>
      </c>
      <c r="P371" s="61">
        <v>0</v>
      </c>
      <c r="Q371" s="61">
        <v>0</v>
      </c>
      <c r="R371" s="61">
        <v>0</v>
      </c>
      <c r="S371" s="61">
        <v>0</v>
      </c>
      <c r="T371" s="61">
        <v>0</v>
      </c>
      <c r="U371" s="61">
        <v>0</v>
      </c>
      <c r="V371" s="61">
        <v>0</v>
      </c>
      <c r="W371" s="61">
        <v>0</v>
      </c>
      <c r="X371" s="61">
        <v>0</v>
      </c>
      <c r="Y371" s="61">
        <v>0</v>
      </c>
      <c r="AA371" s="20"/>
      <c r="AB371" s="16"/>
      <c r="AD371" s="20"/>
      <c r="AE371" s="16"/>
    </row>
    <row r="372" spans="1:33" ht="18" customHeight="1" x14ac:dyDescent="0.2">
      <c r="A372" s="30"/>
      <c r="B372" s="30"/>
      <c r="C372" s="4"/>
      <c r="D372" s="4"/>
      <c r="F372" s="106" t="s">
        <v>110</v>
      </c>
      <c r="H372" s="61">
        <v>0</v>
      </c>
      <c r="I372" s="61">
        <v>0</v>
      </c>
      <c r="J372" s="61">
        <v>0</v>
      </c>
      <c r="K372" s="86"/>
      <c r="L372" s="86"/>
      <c r="M372" s="61">
        <v>0</v>
      </c>
      <c r="N372" s="61">
        <v>0</v>
      </c>
      <c r="O372" s="61">
        <v>0</v>
      </c>
      <c r="P372" s="61">
        <v>0</v>
      </c>
      <c r="Q372" s="61">
        <v>0</v>
      </c>
      <c r="R372" s="61">
        <v>0</v>
      </c>
      <c r="S372" s="61">
        <v>0</v>
      </c>
      <c r="T372" s="61">
        <v>0</v>
      </c>
      <c r="U372" s="61">
        <v>0</v>
      </c>
      <c r="V372" s="61">
        <v>0</v>
      </c>
      <c r="W372" s="61">
        <v>0</v>
      </c>
      <c r="X372" s="61">
        <v>0</v>
      </c>
      <c r="Y372" s="61">
        <v>0</v>
      </c>
      <c r="AA372" s="20"/>
      <c r="AB372" s="16"/>
      <c r="AD372" s="20"/>
      <c r="AE372" s="16"/>
    </row>
    <row r="373" spans="1:33" ht="18" customHeight="1" collapsed="1" x14ac:dyDescent="0.2">
      <c r="A373" s="32"/>
      <c r="B373" s="32"/>
      <c r="C373" s="4">
        <v>0</v>
      </c>
      <c r="D373" s="4">
        <v>0</v>
      </c>
      <c r="F373" s="107" t="s">
        <v>111</v>
      </c>
      <c r="H373" s="58">
        <v>0</v>
      </c>
      <c r="I373" s="58">
        <v>0</v>
      </c>
      <c r="J373" s="58">
        <v>0</v>
      </c>
      <c r="K373" s="92">
        <v>0</v>
      </c>
      <c r="L373" s="92">
        <v>0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AA373" s="58">
        <v>0</v>
      </c>
      <c r="AB373" s="60">
        <v>0</v>
      </c>
      <c r="AD373" s="58">
        <v>0</v>
      </c>
      <c r="AE373" s="60">
        <v>0</v>
      </c>
    </row>
    <row r="374" spans="1:33" ht="15" x14ac:dyDescent="0.2">
      <c r="A374" s="4"/>
      <c r="B374" s="4"/>
      <c r="C374" s="4"/>
      <c r="D374" s="4"/>
      <c r="F374" s="96"/>
      <c r="H374" s="16"/>
      <c r="I374" s="16"/>
      <c r="J374" s="16"/>
      <c r="K374" s="85"/>
      <c r="L374" s="85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AA374" s="16"/>
      <c r="AB374" s="8"/>
      <c r="AD374" s="16"/>
      <c r="AE374" s="8"/>
    </row>
    <row r="375" spans="1:33" ht="15" x14ac:dyDescent="0.2">
      <c r="F375" s="102" t="s">
        <v>370</v>
      </c>
      <c r="H375" s="81">
        <v>51.587159090909083</v>
      </c>
      <c r="I375" s="81">
        <v>54.535071428571435</v>
      </c>
      <c r="J375" s="81">
        <v>54.535071428571435</v>
      </c>
      <c r="K375" s="83">
        <v>25.799468085106383</v>
      </c>
      <c r="L375" s="83">
        <v>18.954561846375764</v>
      </c>
      <c r="M375" s="81">
        <v>27.798461538461542</v>
      </c>
      <c r="N375" s="81">
        <v>17.26359832635983</v>
      </c>
      <c r="O375" s="81">
        <v>19.482272727272726</v>
      </c>
      <c r="P375" s="81">
        <v>16.992050209205029</v>
      </c>
      <c r="Q375" s="81">
        <v>16.365690376569027</v>
      </c>
      <c r="R375" s="81">
        <v>17.424100418410024</v>
      </c>
      <c r="S375" s="81">
        <v>18.307196652719696</v>
      </c>
      <c r="T375" s="81">
        <v>17.917489539748956</v>
      </c>
      <c r="U375" s="81">
        <v>18.491046025104577</v>
      </c>
      <c r="V375" s="81">
        <v>17.472635983263629</v>
      </c>
      <c r="W375" s="81">
        <v>17.819163179916298</v>
      </c>
      <c r="X375" s="81">
        <v>21.135909090909095</v>
      </c>
      <c r="Y375" s="81">
        <v>18.582897706589005</v>
      </c>
      <c r="AA375" s="81">
        <v>25.799468085106383</v>
      </c>
      <c r="AB375" s="8"/>
      <c r="AD375" s="81">
        <v>18.954561846375764</v>
      </c>
      <c r="AE375" s="8"/>
    </row>
    <row r="376" spans="1:33" ht="15" x14ac:dyDescent="0.2">
      <c r="F376" s="102" t="s">
        <v>371</v>
      </c>
      <c r="H376" s="81">
        <v>44.506568627450974</v>
      </c>
      <c r="I376" s="81">
        <v>64.15890756302521</v>
      </c>
      <c r="J376" s="81">
        <v>64.15890756302521</v>
      </c>
      <c r="K376" s="83">
        <v>48.503</v>
      </c>
      <c r="L376" s="83">
        <v>52.561</v>
      </c>
      <c r="M376" s="81">
        <v>52.247710843373497</v>
      </c>
      <c r="N376" s="81">
        <v>49.710843373493972</v>
      </c>
      <c r="O376" s="81">
        <v>51.639759036144568</v>
      </c>
      <c r="P376" s="81">
        <v>48.92891566265061</v>
      </c>
      <c r="Q376" s="81">
        <v>47.125301204819273</v>
      </c>
      <c r="R376" s="81">
        <v>69.406000000000006</v>
      </c>
      <c r="S376" s="81">
        <v>52.715903614457822</v>
      </c>
      <c r="T376" s="81">
        <v>51.593734939759038</v>
      </c>
      <c r="U376" s="81">
        <v>53.24530120481932</v>
      </c>
      <c r="V376" s="81">
        <v>74.570714285714217</v>
      </c>
      <c r="W376" s="81">
        <v>85.175600000000117</v>
      </c>
      <c r="X376" s="81">
        <v>0</v>
      </c>
      <c r="Y376" s="81">
        <v>61.502674698795175</v>
      </c>
      <c r="AA376" s="81">
        <v>48.503</v>
      </c>
      <c r="AB376" s="8"/>
      <c r="AD376" s="81">
        <v>52.561</v>
      </c>
      <c r="AE376" s="8"/>
    </row>
    <row r="377" spans="1:33" s="11" customFormat="1" ht="15" x14ac:dyDescent="0.2">
      <c r="A377" s="8"/>
      <c r="B377" s="8"/>
      <c r="C377" s="8"/>
      <c r="D377" s="8"/>
      <c r="E377" s="8"/>
      <c r="F377" s="103"/>
      <c r="G377" s="8"/>
      <c r="H377" s="82"/>
      <c r="I377" s="16"/>
      <c r="J377" s="16"/>
      <c r="K377" s="84"/>
      <c r="L377" s="84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8"/>
      <c r="AA377" s="16"/>
      <c r="AB377" s="8"/>
      <c r="AC377" s="8"/>
      <c r="AD377" s="16"/>
      <c r="AE377" s="8"/>
      <c r="AF377" s="8"/>
      <c r="AG377" s="8"/>
    </row>
    <row r="378" spans="1:33" s="11" customFormat="1" ht="15" x14ac:dyDescent="0.2">
      <c r="A378" s="8"/>
      <c r="B378" s="8"/>
      <c r="C378" s="8"/>
      <c r="D378" s="8"/>
      <c r="E378" s="8"/>
      <c r="F378" s="102" t="s">
        <v>356</v>
      </c>
      <c r="G378" s="8"/>
      <c r="H378" s="81">
        <v>123.103793888102</v>
      </c>
      <c r="I378" s="81">
        <v>130.7562237144904</v>
      </c>
      <c r="J378" s="81">
        <v>130.7562237144904</v>
      </c>
      <c r="K378" s="83">
        <v>133.99950518524628</v>
      </c>
      <c r="L378" s="83">
        <v>127.36776317041151</v>
      </c>
      <c r="M378" s="81">
        <v>8.5008624347409008</v>
      </c>
      <c r="N378" s="81">
        <v>9.3538940054936202</v>
      </c>
      <c r="O378" s="81">
        <v>10.596482427692623</v>
      </c>
      <c r="P378" s="81">
        <v>11.687761115625484</v>
      </c>
      <c r="Q378" s="81">
        <v>13.812807860783021</v>
      </c>
      <c r="R378" s="81">
        <v>12.311155455660252</v>
      </c>
      <c r="S378" s="81">
        <v>9.7763947994325786</v>
      </c>
      <c r="T378" s="81">
        <v>10.08197346584841</v>
      </c>
      <c r="U378" s="81">
        <v>11.307670492258318</v>
      </c>
      <c r="V378" s="81">
        <v>13.053026529628326</v>
      </c>
      <c r="W378" s="81">
        <v>11.400995903365105</v>
      </c>
      <c r="X378" s="81">
        <v>11.025971884700043</v>
      </c>
      <c r="Y378" s="81">
        <v>132.55777689754703</v>
      </c>
      <c r="Z378" s="8"/>
      <c r="AA378" s="81">
        <v>133.99950518524628</v>
      </c>
      <c r="AB378" s="8"/>
      <c r="AC378" s="8"/>
      <c r="AD378" s="81">
        <v>127.36776317041151</v>
      </c>
      <c r="AE378" s="8"/>
      <c r="AF378" s="8"/>
      <c r="AG378" s="8"/>
    </row>
    <row r="379" spans="1:33" ht="15" x14ac:dyDescent="0.2">
      <c r="F379" s="96"/>
      <c r="H379" s="16"/>
      <c r="I379" s="16"/>
      <c r="J379" s="16"/>
      <c r="K379" s="85"/>
      <c r="L379" s="85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AA379" s="16"/>
      <c r="AB379" s="8"/>
      <c r="AD379" s="16"/>
      <c r="AE379" s="8"/>
    </row>
    <row r="380" spans="1:33" s="11" customFormat="1" ht="15" x14ac:dyDescent="0.2">
      <c r="A380" s="8"/>
      <c r="B380" s="8"/>
      <c r="C380" s="8"/>
      <c r="D380" s="8"/>
      <c r="E380" s="8"/>
      <c r="F380" s="102" t="s">
        <v>254</v>
      </c>
      <c r="G380" s="8"/>
      <c r="H380" s="81">
        <v>6.4189396172191691</v>
      </c>
      <c r="I380" s="81">
        <v>6.8592538460603549</v>
      </c>
      <c r="J380" s="81">
        <v>6.8592538460603549</v>
      </c>
      <c r="K380" s="83">
        <v>7.511526548672566</v>
      </c>
      <c r="L380" s="83">
        <v>7.7682368093237333</v>
      </c>
      <c r="M380" s="81">
        <v>9.8866336633663376</v>
      </c>
      <c r="N380" s="81">
        <v>8.0915560038101635</v>
      </c>
      <c r="O380" s="81">
        <v>8.0401704362739839</v>
      </c>
      <c r="P380" s="81">
        <v>8.078805274525406</v>
      </c>
      <c r="Q380" s="81">
        <v>7.6668346774193479</v>
      </c>
      <c r="R380" s="81">
        <v>8.3406351931330427</v>
      </c>
      <c r="S380" s="81">
        <v>6.6325826150981131</v>
      </c>
      <c r="T380" s="81">
        <v>6.242130690100371</v>
      </c>
      <c r="U380" s="81">
        <v>7.5570451436388337</v>
      </c>
      <c r="V380" s="81">
        <v>7.9937978560490146</v>
      </c>
      <c r="W380" s="81">
        <v>7.2548087218923465</v>
      </c>
      <c r="X380" s="81">
        <v>8.0539664472707297</v>
      </c>
      <c r="Y380" s="81">
        <v>7.7214912678758951</v>
      </c>
      <c r="Z380" s="8"/>
      <c r="AA380" s="81">
        <v>7.511526548672566</v>
      </c>
      <c r="AB380" s="8"/>
      <c r="AC380" s="8"/>
      <c r="AD380" s="81">
        <v>7.7682368093237333</v>
      </c>
      <c r="AE380" s="8"/>
      <c r="AF380" s="8"/>
      <c r="AG380" s="8"/>
    </row>
    <row r="381" spans="1:33" s="11" customFormat="1" ht="15" x14ac:dyDescent="0.2">
      <c r="A381" s="8"/>
      <c r="B381" s="8"/>
      <c r="C381" s="8"/>
      <c r="D381" s="8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8"/>
      <c r="AC381" s="20"/>
      <c r="AD381" s="20"/>
      <c r="AE381" s="8"/>
      <c r="AF381" s="8"/>
      <c r="AG381" s="8"/>
    </row>
    <row r="382" spans="1:33" s="11" customFormat="1" x14ac:dyDescent="0.2">
      <c r="A382" s="42" t="s">
        <v>30</v>
      </c>
      <c r="B382" s="42" t="s">
        <v>17</v>
      </c>
      <c r="C382" s="8"/>
      <c r="D382" s="8"/>
      <c r="E382" s="8"/>
      <c r="F382" s="43" t="s">
        <v>253</v>
      </c>
      <c r="G382" s="8"/>
      <c r="H382" s="44">
        <v>0</v>
      </c>
      <c r="I382" s="44">
        <v>0</v>
      </c>
      <c r="J382" s="44">
        <v>0</v>
      </c>
      <c r="K382" s="44">
        <v>0</v>
      </c>
      <c r="L382" s="44">
        <v>0</v>
      </c>
      <c r="M382" s="44">
        <v>-3.1974423109204508E-14</v>
      </c>
      <c r="N382" s="44">
        <v>-1.3855583347321954E-13</v>
      </c>
      <c r="O382" s="44">
        <v>-2.7711166694643907E-13</v>
      </c>
      <c r="P382" s="44">
        <v>-1.7053025658242404E-13</v>
      </c>
      <c r="Q382" s="44">
        <v>-2.8421709430404007E-13</v>
      </c>
      <c r="R382" s="44">
        <v>-1.1368683772161603E-13</v>
      </c>
      <c r="S382" s="44">
        <v>0</v>
      </c>
      <c r="T382" s="44">
        <v>1.2505552149377763E-12</v>
      </c>
      <c r="U382" s="44">
        <v>-1.1368683772161603E-13</v>
      </c>
      <c r="V382" s="44">
        <v>-2.2737367544323206E-13</v>
      </c>
      <c r="W382" s="44">
        <v>0</v>
      </c>
      <c r="X382" s="44">
        <v>0</v>
      </c>
      <c r="Y382" s="44">
        <v>0</v>
      </c>
      <c r="Z382" s="8"/>
      <c r="AA382" s="8"/>
      <c r="AB382" s="8"/>
      <c r="AC382" s="8"/>
      <c r="AD382" s="8"/>
      <c r="AE382" s="8"/>
      <c r="AF382" s="8"/>
      <c r="AG382" s="8"/>
    </row>
    <row r="383" spans="1:33" s="2" customFormat="1" ht="12.75" x14ac:dyDescent="0.2">
      <c r="F383" s="1"/>
      <c r="K383" s="49"/>
      <c r="L383" s="49"/>
      <c r="AB383" s="8"/>
      <c r="AE383" s="8"/>
    </row>
    <row r="384" spans="1:33" s="11" customFormat="1" x14ac:dyDescent="0.2">
      <c r="A384" s="8"/>
      <c r="B384" s="8"/>
      <c r="C384" s="8"/>
      <c r="D384" s="8"/>
      <c r="F384" s="11" t="s">
        <v>315</v>
      </c>
      <c r="M384" s="125" t="s">
        <v>388</v>
      </c>
      <c r="N384" s="125" t="s">
        <v>364</v>
      </c>
      <c r="O384" s="125" t="s">
        <v>316</v>
      </c>
      <c r="P384" s="125" t="s">
        <v>317</v>
      </c>
      <c r="Q384" s="125" t="s">
        <v>318</v>
      </c>
      <c r="R384" s="125" t="s">
        <v>319</v>
      </c>
      <c r="S384" s="125" t="s">
        <v>365</v>
      </c>
      <c r="T384" s="125" t="s">
        <v>320</v>
      </c>
      <c r="U384" s="125" t="s">
        <v>366</v>
      </c>
      <c r="V384" s="125" t="s">
        <v>367</v>
      </c>
      <c r="W384" s="125" t="s">
        <v>368</v>
      </c>
      <c r="X384" s="125" t="s">
        <v>369</v>
      </c>
      <c r="AB384" s="8"/>
      <c r="AE384" s="8"/>
      <c r="AF384" s="8"/>
      <c r="AG384" s="8"/>
    </row>
    <row r="385" spans="1:33" s="11" customFormat="1" x14ac:dyDescent="0.2">
      <c r="A385" s="8"/>
      <c r="B385" s="8"/>
      <c r="C385" s="8"/>
      <c r="D385" s="8"/>
      <c r="M385" s="126" t="s">
        <v>5</v>
      </c>
      <c r="N385" s="126" t="s">
        <v>6</v>
      </c>
      <c r="O385" s="126" t="s">
        <v>7</v>
      </c>
      <c r="P385" s="126" t="s">
        <v>8</v>
      </c>
      <c r="Q385" s="126" t="s">
        <v>9</v>
      </c>
      <c r="R385" s="126" t="s">
        <v>10</v>
      </c>
      <c r="S385" s="126" t="s">
        <v>321</v>
      </c>
      <c r="T385" s="126" t="s">
        <v>11</v>
      </c>
      <c r="U385" s="126" t="s">
        <v>12</v>
      </c>
      <c r="V385" s="126" t="s">
        <v>13</v>
      </c>
      <c r="W385" s="126" t="s">
        <v>14</v>
      </c>
      <c r="X385" s="126" t="s">
        <v>15</v>
      </c>
      <c r="AB385" s="8"/>
      <c r="AE385" s="8"/>
      <c r="AF385" s="8"/>
      <c r="AG385" s="8"/>
    </row>
    <row r="386" spans="1:33" s="11" customFormat="1" x14ac:dyDescent="0.2">
      <c r="A386" s="8"/>
      <c r="B386" s="8"/>
      <c r="C386" s="8"/>
      <c r="D386" s="8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AB386" s="8"/>
      <c r="AE386" s="8"/>
      <c r="AF386" s="8"/>
      <c r="AG386" s="8"/>
    </row>
    <row r="387" spans="1:33" s="11" customFormat="1" x14ac:dyDescent="0.2">
      <c r="A387" s="42" t="s">
        <v>30</v>
      </c>
      <c r="B387" s="42" t="s">
        <v>17</v>
      </c>
      <c r="C387" s="8"/>
      <c r="D387" s="8"/>
      <c r="F387" s="52">
        <v>2021</v>
      </c>
      <c r="M387" s="55">
        <v>-4.3909900000000004</v>
      </c>
      <c r="N387" s="55">
        <v>57.075360000000103</v>
      </c>
      <c r="O387" s="55">
        <v>89.917669999999902</v>
      </c>
      <c r="P387" s="55">
        <v>161.52154999999999</v>
      </c>
      <c r="Q387" s="55">
        <v>284.77906000000002</v>
      </c>
      <c r="R387" s="55">
        <v>361.07909999999998</v>
      </c>
      <c r="S387" s="55">
        <v>471.25828999999999</v>
      </c>
      <c r="T387" s="55">
        <v>713.97501</v>
      </c>
      <c r="U387" s="55">
        <v>818.35849999999903</v>
      </c>
      <c r="V387" s="55">
        <v>892.76300000000106</v>
      </c>
      <c r="W387" s="55">
        <v>930.60299999999995</v>
      </c>
      <c r="X387" s="55">
        <v>980.18299999999999</v>
      </c>
      <c r="AB387" s="8"/>
      <c r="AE387" s="8"/>
      <c r="AF387" s="8"/>
      <c r="AG387" s="8"/>
    </row>
    <row r="388" spans="1:33" s="11" customFormat="1" x14ac:dyDescent="0.2">
      <c r="A388" s="42" t="s">
        <v>30</v>
      </c>
      <c r="B388" s="42" t="s">
        <v>17</v>
      </c>
      <c r="C388" s="8"/>
      <c r="D388" s="8"/>
      <c r="F388" s="52">
        <v>2022</v>
      </c>
      <c r="M388" s="55">
        <v>85.200999999999993</v>
      </c>
      <c r="N388" s="55">
        <v>145.72800000000001</v>
      </c>
      <c r="O388" s="55">
        <v>230.029</v>
      </c>
      <c r="P388" s="55">
        <v>301.02999999999997</v>
      </c>
      <c r="Q388" s="55">
        <v>416.02300000000002</v>
      </c>
      <c r="R388" s="55">
        <v>555.99199999999996</v>
      </c>
      <c r="S388" s="55">
        <v>652.62000000000103</v>
      </c>
      <c r="T388" s="55">
        <v>814.95100000000002</v>
      </c>
      <c r="U388" s="55">
        <v>853.98040999999898</v>
      </c>
      <c r="V388" s="55">
        <v>926.08600000000001</v>
      </c>
      <c r="W388" s="55">
        <v>998.36500000000001</v>
      </c>
      <c r="X388" s="55">
        <v>1120.6500000000001</v>
      </c>
      <c r="AB388" s="8"/>
      <c r="AE388" s="8"/>
      <c r="AF388" s="8"/>
      <c r="AG388" s="8"/>
    </row>
    <row r="389" spans="1:33" s="11" customFormat="1" x14ac:dyDescent="0.2">
      <c r="A389" s="42" t="s">
        <v>30</v>
      </c>
      <c r="B389" s="42" t="s">
        <v>17</v>
      </c>
      <c r="C389" s="8"/>
      <c r="D389" s="8"/>
      <c r="F389" s="124" t="s">
        <v>489</v>
      </c>
      <c r="L389" s="54">
        <v>1300.8838999999989</v>
      </c>
      <c r="M389" s="55">
        <v>108.40699166666657</v>
      </c>
      <c r="N389" s="55">
        <v>216.81398333333314</v>
      </c>
      <c r="O389" s="55">
        <v>325.22097499999973</v>
      </c>
      <c r="P389" s="55">
        <v>433.62796666666628</v>
      </c>
      <c r="Q389" s="55">
        <v>542.03495833333284</v>
      </c>
      <c r="R389" s="55">
        <v>650.44194999999945</v>
      </c>
      <c r="S389" s="55">
        <v>758.84894166666606</v>
      </c>
      <c r="T389" s="55">
        <v>867.25593333333256</v>
      </c>
      <c r="U389" s="55">
        <v>975.66292499999918</v>
      </c>
      <c r="V389" s="55">
        <v>1084.0699166666657</v>
      </c>
      <c r="W389" s="55">
        <v>1192.4769083333324</v>
      </c>
      <c r="X389" s="55">
        <v>1300.8838999999989</v>
      </c>
      <c r="AB389" s="8"/>
      <c r="AE389" s="8"/>
      <c r="AF389" s="8"/>
      <c r="AG389" s="8"/>
    </row>
    <row r="390" spans="1:33" s="11" customFormat="1" x14ac:dyDescent="0.2">
      <c r="A390" s="42" t="s">
        <v>30</v>
      </c>
      <c r="B390" s="42" t="s">
        <v>17</v>
      </c>
      <c r="C390" s="8"/>
      <c r="D390" s="8"/>
      <c r="F390" s="52" t="s">
        <v>450</v>
      </c>
      <c r="M390" s="55">
        <v>-19.077000000000002</v>
      </c>
      <c r="N390" s="55">
        <v>12.779</v>
      </c>
      <c r="O390" s="55">
        <v>59.855999999999902</v>
      </c>
      <c r="P390" s="55">
        <v>174.006</v>
      </c>
      <c r="Q390" s="55">
        <v>442.99200000000002</v>
      </c>
      <c r="R390" s="55">
        <v>581.66099999999994</v>
      </c>
      <c r="S390" s="55">
        <v>680.60900000000004</v>
      </c>
      <c r="T390" s="55">
        <v>830.54000000000099</v>
      </c>
      <c r="U390" s="55">
        <v>932.85299999999995</v>
      </c>
      <c r="V390" s="55">
        <v>1095.4280000000001</v>
      </c>
      <c r="W390" s="55">
        <v>1186.067</v>
      </c>
      <c r="X390" s="55">
        <v>1292.8920000000001</v>
      </c>
      <c r="AB390" s="8"/>
      <c r="AE390" s="8"/>
      <c r="AF390" s="8"/>
      <c r="AG390" s="8"/>
    </row>
    <row r="391" spans="1:33" s="11" customFormat="1" x14ac:dyDescent="0.2">
      <c r="A391" s="8"/>
      <c r="B391" s="8"/>
      <c r="C391" s="8"/>
      <c r="D391" s="8"/>
      <c r="F391" s="11" t="s">
        <v>490</v>
      </c>
      <c r="L391" s="54">
        <v>1300.8838999999989</v>
      </c>
      <c r="M391" s="55" t="s">
        <v>481</v>
      </c>
      <c r="N391" s="55" t="s">
        <v>481</v>
      </c>
      <c r="O391" s="55" t="s">
        <v>481</v>
      </c>
      <c r="P391" s="55" t="s">
        <v>481</v>
      </c>
      <c r="Q391" s="55" t="s">
        <v>481</v>
      </c>
      <c r="R391" s="55" t="s">
        <v>481</v>
      </c>
      <c r="S391" s="55" t="s">
        <v>481</v>
      </c>
      <c r="T391" s="55" t="s">
        <v>481</v>
      </c>
      <c r="U391" s="55" t="s">
        <v>481</v>
      </c>
      <c r="V391" s="55" t="s">
        <v>481</v>
      </c>
      <c r="W391" s="55" t="s">
        <v>481</v>
      </c>
      <c r="X391" s="55">
        <v>1292.8920000000001</v>
      </c>
      <c r="AB391" s="8"/>
      <c r="AE391" s="8"/>
      <c r="AF391" s="8"/>
      <c r="AG391" s="8"/>
    </row>
    <row r="392" spans="1:33" s="2" customFormat="1" ht="12.75" x14ac:dyDescent="0.2">
      <c r="F392" s="1"/>
      <c r="K392" s="49"/>
      <c r="L392" s="49"/>
      <c r="AB392" s="8"/>
      <c r="AE392" s="8"/>
    </row>
    <row r="393" spans="1:33" s="2" customFormat="1" ht="12.75" x14ac:dyDescent="0.2">
      <c r="F393" s="1"/>
      <c r="K393" s="49"/>
      <c r="L393" s="49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AB393" s="8"/>
      <c r="AE393" s="8"/>
    </row>
    <row r="394" spans="1:33" s="2" customFormat="1" ht="12.75" x14ac:dyDescent="0.2">
      <c r="F394" s="1"/>
      <c r="K394" s="49"/>
      <c r="L394" s="49"/>
      <c r="AB394" s="8"/>
      <c r="AE394" s="8"/>
    </row>
    <row r="395" spans="1:33" s="2" customFormat="1" ht="12.75" x14ac:dyDescent="0.2">
      <c r="F395" s="1"/>
      <c r="K395" s="49"/>
      <c r="L395" s="49"/>
      <c r="AB395" s="8"/>
      <c r="AE395" s="8"/>
    </row>
    <row r="396" spans="1:33" s="2" customFormat="1" ht="12.75" x14ac:dyDescent="0.2">
      <c r="F396" s="1"/>
      <c r="K396" s="49"/>
      <c r="L396" s="49"/>
      <c r="R396" s="93"/>
      <c r="S396" s="93"/>
      <c r="T396" s="93"/>
      <c r="AB396" s="8"/>
      <c r="AE396" s="8"/>
    </row>
    <row r="397" spans="1:33" s="2" customFormat="1" ht="12.75" x14ac:dyDescent="0.2">
      <c r="F397" s="1"/>
      <c r="K397" s="49"/>
      <c r="L397" s="49"/>
      <c r="AB397" s="8"/>
      <c r="AE397" s="8"/>
    </row>
    <row r="398" spans="1:33" s="2" customFormat="1" ht="12.75" x14ac:dyDescent="0.2">
      <c r="F398" s="1"/>
      <c r="K398" s="49"/>
      <c r="L398" s="49"/>
      <c r="AB398" s="8"/>
      <c r="AE398" s="8"/>
    </row>
    <row r="399" spans="1:33" s="2" customFormat="1" ht="12.75" x14ac:dyDescent="0.2">
      <c r="F399" s="1"/>
      <c r="K399" s="49"/>
      <c r="L399" s="49"/>
      <c r="AB399" s="8"/>
      <c r="AE399" s="8"/>
    </row>
    <row r="400" spans="1:33" s="2" customFormat="1" ht="12.75" x14ac:dyDescent="0.2">
      <c r="F400" s="1"/>
      <c r="K400" s="49"/>
      <c r="L400" s="49"/>
      <c r="AB400" s="8"/>
      <c r="AE400" s="8"/>
    </row>
    <row r="401" spans="6:31" s="2" customFormat="1" ht="12.75" x14ac:dyDescent="0.2">
      <c r="F401" s="1"/>
      <c r="K401" s="49"/>
      <c r="L401" s="49"/>
      <c r="AB401" s="8"/>
      <c r="AE401" s="8"/>
    </row>
    <row r="402" spans="6:31" s="2" customFormat="1" ht="12.75" x14ac:dyDescent="0.2">
      <c r="F402" s="1"/>
      <c r="K402" s="49"/>
      <c r="L402" s="49"/>
      <c r="AB402" s="8"/>
      <c r="AE402" s="8"/>
    </row>
    <row r="403" spans="6:31" s="2" customFormat="1" x14ac:dyDescent="0.2">
      <c r="F403" s="1"/>
      <c r="K403" s="49"/>
      <c r="L403" s="49"/>
      <c r="AB403" s="8"/>
      <c r="AE403" s="3"/>
    </row>
    <row r="404" spans="6:31" s="2" customFormat="1" x14ac:dyDescent="0.2">
      <c r="F404" s="1"/>
      <c r="K404" s="49"/>
      <c r="L404" s="49"/>
      <c r="AB404" s="3"/>
      <c r="AE404" s="3"/>
    </row>
    <row r="405" spans="6:31" s="2" customFormat="1" x14ac:dyDescent="0.2">
      <c r="F405" s="1"/>
      <c r="K405" s="49"/>
      <c r="L405" s="49"/>
      <c r="AB405" s="3"/>
      <c r="AE405" s="3"/>
    </row>
    <row r="406" spans="6:31" s="2" customFormat="1" x14ac:dyDescent="0.2">
      <c r="F406" s="1"/>
      <c r="K406" s="49"/>
      <c r="L406" s="49"/>
      <c r="AB406" s="3"/>
      <c r="AE406" s="3"/>
    </row>
    <row r="407" spans="6:31" s="2" customFormat="1" x14ac:dyDescent="0.2">
      <c r="F407" s="1"/>
      <c r="K407" s="49"/>
      <c r="L407" s="49"/>
      <c r="AB407" s="3"/>
      <c r="AE407" s="3"/>
    </row>
    <row r="408" spans="6:31" s="2" customFormat="1" x14ac:dyDescent="0.2">
      <c r="F408" s="1"/>
      <c r="K408" s="49"/>
      <c r="L408" s="49"/>
      <c r="AB408" s="3"/>
      <c r="AE408" s="3"/>
    </row>
    <row r="409" spans="6:31" s="2" customFormat="1" x14ac:dyDescent="0.2">
      <c r="F409" s="1"/>
      <c r="K409" s="49"/>
      <c r="L409" s="49"/>
      <c r="AB409" s="3"/>
      <c r="AE409" s="3"/>
    </row>
    <row r="410" spans="6:31" s="2" customFormat="1" x14ac:dyDescent="0.2">
      <c r="F410" s="1"/>
      <c r="K410" s="49"/>
      <c r="L410" s="49"/>
      <c r="AB410" s="3"/>
      <c r="AE410" s="3"/>
    </row>
    <row r="411" spans="6:31" s="2" customFormat="1" x14ac:dyDescent="0.2">
      <c r="F411" s="1"/>
      <c r="K411" s="49"/>
      <c r="L411" s="49"/>
      <c r="AB411" s="3"/>
      <c r="AE411" s="3"/>
    </row>
    <row r="412" spans="6:31" s="2" customFormat="1" x14ac:dyDescent="0.2">
      <c r="F412" s="1"/>
      <c r="K412" s="49"/>
      <c r="L412" s="49"/>
      <c r="AB412" s="3"/>
      <c r="AE412" s="3"/>
    </row>
    <row r="413" spans="6:31" s="2" customFormat="1" x14ac:dyDescent="0.2">
      <c r="F413" s="1"/>
      <c r="K413" s="49"/>
      <c r="L413" s="49"/>
      <c r="AB413" s="3"/>
      <c r="AE413" s="3"/>
    </row>
    <row r="414" spans="6:31" s="2" customFormat="1" x14ac:dyDescent="0.2">
      <c r="F414" s="1"/>
      <c r="K414" s="49"/>
      <c r="L414" s="49"/>
      <c r="AB414" s="3"/>
      <c r="AE414" s="3"/>
    </row>
    <row r="415" spans="6:31" s="2" customFormat="1" x14ac:dyDescent="0.2">
      <c r="F415" s="1"/>
      <c r="K415" s="49"/>
      <c r="L415" s="49"/>
      <c r="AB415" s="3"/>
      <c r="AE415" s="3"/>
    </row>
    <row r="416" spans="6:31" s="2" customFormat="1" x14ac:dyDescent="0.2">
      <c r="F416" s="1"/>
      <c r="K416" s="49"/>
      <c r="L416" s="49"/>
      <c r="AB416" s="3"/>
      <c r="AE416" s="3"/>
    </row>
    <row r="417" spans="6:31" s="2" customFormat="1" x14ac:dyDescent="0.2">
      <c r="F417" s="1"/>
      <c r="K417" s="49"/>
      <c r="L417" s="49"/>
      <c r="AB417" s="3"/>
      <c r="AE417" s="3"/>
    </row>
    <row r="418" spans="6:31" s="2" customFormat="1" x14ac:dyDescent="0.2">
      <c r="F418" s="1"/>
      <c r="K418" s="49"/>
      <c r="L418" s="49"/>
      <c r="AB418" s="3"/>
      <c r="AE418" s="3"/>
    </row>
    <row r="419" spans="6:31" s="2" customFormat="1" x14ac:dyDescent="0.2">
      <c r="F419" s="1"/>
      <c r="K419" s="49"/>
      <c r="L419" s="49"/>
      <c r="AB419" s="3"/>
      <c r="AE419" s="3"/>
    </row>
    <row r="420" spans="6:31" s="2" customFormat="1" x14ac:dyDescent="0.2">
      <c r="F420" s="1"/>
      <c r="K420" s="49"/>
      <c r="L420" s="49"/>
      <c r="AB420" s="3"/>
      <c r="AE420" s="3"/>
    </row>
    <row r="421" spans="6:31" s="2" customFormat="1" x14ac:dyDescent="0.2">
      <c r="F421" s="1"/>
      <c r="K421" s="49"/>
      <c r="L421" s="49"/>
      <c r="AB421" s="3"/>
      <c r="AE421" s="3"/>
    </row>
    <row r="422" spans="6:31" s="2" customFormat="1" x14ac:dyDescent="0.2">
      <c r="F422" s="1"/>
      <c r="K422" s="49"/>
      <c r="L422" s="49"/>
      <c r="AB422" s="3"/>
      <c r="AE422" s="3"/>
    </row>
    <row r="423" spans="6:31" s="2" customFormat="1" x14ac:dyDescent="0.2">
      <c r="F423" s="1"/>
      <c r="K423" s="49"/>
      <c r="L423" s="49"/>
      <c r="AB423" s="3"/>
      <c r="AE423" s="3"/>
    </row>
    <row r="424" spans="6:31" s="2" customFormat="1" x14ac:dyDescent="0.2">
      <c r="F424" s="1"/>
      <c r="K424" s="49"/>
      <c r="L424" s="49"/>
      <c r="AB424" s="3"/>
      <c r="AE424" s="3"/>
    </row>
    <row r="425" spans="6:31" s="2" customFormat="1" x14ac:dyDescent="0.2">
      <c r="F425" s="1"/>
      <c r="K425" s="49"/>
      <c r="L425" s="49"/>
      <c r="AB425" s="3"/>
      <c r="AE425" s="3"/>
    </row>
    <row r="426" spans="6:31" s="2" customFormat="1" x14ac:dyDescent="0.2">
      <c r="F426" s="1"/>
      <c r="K426" s="49"/>
      <c r="L426" s="49"/>
      <c r="AB426" s="3"/>
      <c r="AE426" s="3"/>
    </row>
    <row r="427" spans="6:31" s="2" customFormat="1" x14ac:dyDescent="0.2">
      <c r="F427" s="1"/>
      <c r="K427" s="49"/>
      <c r="L427" s="49"/>
      <c r="AB427" s="3"/>
      <c r="AE427" s="3"/>
    </row>
    <row r="428" spans="6:31" s="2" customFormat="1" x14ac:dyDescent="0.2">
      <c r="F428" s="1"/>
      <c r="K428" s="49"/>
      <c r="L428" s="49"/>
      <c r="AB428" s="3"/>
      <c r="AE428" s="3"/>
    </row>
    <row r="429" spans="6:31" s="2" customFormat="1" x14ac:dyDescent="0.2">
      <c r="F429" s="1"/>
      <c r="K429" s="49"/>
      <c r="L429" s="49"/>
      <c r="AB429" s="3"/>
      <c r="AE429" s="3"/>
    </row>
    <row r="430" spans="6:31" s="2" customFormat="1" x14ac:dyDescent="0.2">
      <c r="F430" s="1"/>
      <c r="K430" s="49"/>
      <c r="L430" s="49"/>
      <c r="AB430" s="3"/>
      <c r="AE430" s="3"/>
    </row>
    <row r="431" spans="6:31" s="2" customFormat="1" x14ac:dyDescent="0.2">
      <c r="F431" s="1"/>
      <c r="K431" s="49"/>
      <c r="L431" s="49"/>
      <c r="AB431" s="3"/>
      <c r="AE431" s="3"/>
    </row>
    <row r="432" spans="6:31" s="2" customFormat="1" x14ac:dyDescent="0.2">
      <c r="F432" s="1"/>
      <c r="K432" s="49"/>
      <c r="L432" s="49"/>
      <c r="AB432" s="3"/>
      <c r="AE432" s="3"/>
    </row>
    <row r="433" spans="6:31" s="2" customFormat="1" x14ac:dyDescent="0.2">
      <c r="F433" s="1"/>
      <c r="K433" s="49"/>
      <c r="L433" s="49"/>
      <c r="AB433" s="3"/>
      <c r="AE433" s="3"/>
    </row>
    <row r="434" spans="6:31" s="2" customFormat="1" x14ac:dyDescent="0.2">
      <c r="F434" s="1"/>
      <c r="K434" s="49"/>
      <c r="L434" s="49"/>
      <c r="AB434" s="3"/>
      <c r="AE434" s="3"/>
    </row>
    <row r="435" spans="6:31" s="2" customFormat="1" x14ac:dyDescent="0.2">
      <c r="F435" s="1"/>
      <c r="K435" s="49"/>
      <c r="L435" s="49"/>
      <c r="AB435" s="3"/>
      <c r="AE435" s="3"/>
    </row>
  </sheetData>
  <mergeCells count="5">
    <mergeCell ref="F9:F10"/>
    <mergeCell ref="AD9:AD10"/>
    <mergeCell ref="AE9:AE10"/>
    <mergeCell ref="AA9:AA10"/>
    <mergeCell ref="AB9:AB10"/>
  </mergeCells>
  <conditionalFormatting sqref="AC299:AC347 AC381 AC384:AC391 AE1:AE299 AE301 AE303:AE1048576">
    <cfRule type="expression" dxfId="389" priority="61" stopIfTrue="1">
      <formula>($D1&gt;0)</formula>
    </cfRule>
    <cfRule type="expression" dxfId="388" priority="62" stopIfTrue="1">
      <formula>AND($D1&lt;0,$D1&gt;=$AE$2)</formula>
    </cfRule>
    <cfRule type="expression" dxfId="387" priority="63" stopIfTrue="1">
      <formula>($D1&lt;$AE$2)</formula>
    </cfRule>
  </conditionalFormatting>
  <conditionalFormatting sqref="AB1:AB1048576">
    <cfRule type="expression" dxfId="386" priority="55" stopIfTrue="1">
      <formula>($C1&gt;0)</formula>
    </cfRule>
    <cfRule type="expression" dxfId="385" priority="56" stopIfTrue="1">
      <formula>AND($C1&lt;0,$C1&gt;=$AB$2)</formula>
    </cfRule>
    <cfRule type="expression" dxfId="384" priority="57" stopIfTrue="1">
      <formula>($C1&lt;$AB$2)</formula>
    </cfRule>
  </conditionalFormatting>
  <conditionalFormatting sqref="AB9:AB10">
    <cfRule type="expression" dxfId="383" priority="52" stopIfTrue="1">
      <formula>($C9&gt;0)</formula>
    </cfRule>
    <cfRule type="expression" dxfId="382" priority="53" stopIfTrue="1">
      <formula>AND($C9&lt;0,$C9&gt;=$AB$2)</formula>
    </cfRule>
    <cfRule type="expression" dxfId="381" priority="54" stopIfTrue="1">
      <formula>($C9&lt;$AB$2)</formula>
    </cfRule>
  </conditionalFormatting>
  <conditionalFormatting sqref="AE9:AE10">
    <cfRule type="expression" dxfId="380" priority="49" stopIfTrue="1">
      <formula>($D9&gt;0)</formula>
    </cfRule>
    <cfRule type="expression" dxfId="379" priority="50" stopIfTrue="1">
      <formula>AND($D9&lt;0,$D9&gt;=$AE$2)</formula>
    </cfRule>
    <cfRule type="expression" dxfId="378" priority="51" stopIfTrue="1">
      <formula>($D9&lt;$AE$2)</formula>
    </cfRule>
  </conditionalFormatting>
  <conditionalFormatting sqref="AB9:AB10">
    <cfRule type="expression" dxfId="377" priority="46" stopIfTrue="1">
      <formula>($C9&gt;0)</formula>
    </cfRule>
    <cfRule type="expression" dxfId="376" priority="47" stopIfTrue="1">
      <formula>AND($C9&lt;0,$C9&gt;=$AB$2)</formula>
    </cfRule>
    <cfRule type="expression" dxfId="375" priority="48" stopIfTrue="1">
      <formula>($C9&lt;$AB$2)</formula>
    </cfRule>
  </conditionalFormatting>
  <conditionalFormatting sqref="AE9:AE10">
    <cfRule type="expression" dxfId="374" priority="43" stopIfTrue="1">
      <formula>($D9&gt;0)</formula>
    </cfRule>
    <cfRule type="expression" dxfId="373" priority="44" stopIfTrue="1">
      <formula>AND($D9&lt;0,$D9&gt;=$AE$2)</formula>
    </cfRule>
    <cfRule type="expression" dxfId="372" priority="45" stopIfTrue="1">
      <formula>($D9&lt;$AE$2)</formula>
    </cfRule>
  </conditionalFormatting>
  <conditionalFormatting sqref="AD366">
    <cfRule type="expression" dxfId="371" priority="40" stopIfTrue="1">
      <formula>($D366&gt;0)</formula>
    </cfRule>
    <cfRule type="expression" dxfId="370" priority="41" stopIfTrue="1">
      <formula>AND($D366&lt;0,$D366&gt;=$AE$2)</formula>
    </cfRule>
    <cfRule type="expression" dxfId="369" priority="42" stopIfTrue="1">
      <formula>($D366&lt;$AE$2)</formula>
    </cfRule>
  </conditionalFormatting>
  <conditionalFormatting sqref="AD369">
    <cfRule type="expression" dxfId="368" priority="37" stopIfTrue="1">
      <formula>($D369&gt;0)</formula>
    </cfRule>
    <cfRule type="expression" dxfId="367" priority="38" stopIfTrue="1">
      <formula>AND($D369&lt;0,$D369&gt;=$AE$2)</formula>
    </cfRule>
    <cfRule type="expression" dxfId="366" priority="39" stopIfTrue="1">
      <formula>($D369&lt;$AE$2)</formula>
    </cfRule>
  </conditionalFormatting>
  <conditionalFormatting sqref="AE140">
    <cfRule type="expression" dxfId="365" priority="34" stopIfTrue="1">
      <formula>($D140&gt;0)</formula>
    </cfRule>
    <cfRule type="expression" dxfId="364" priority="35" stopIfTrue="1">
      <formula>AND($D140&lt;0,$D140&gt;=$AE$2)</formula>
    </cfRule>
    <cfRule type="expression" dxfId="363" priority="36" stopIfTrue="1">
      <formula>($D140&lt;$AE$2)</formula>
    </cfRule>
  </conditionalFormatting>
  <conditionalFormatting sqref="AB140">
    <cfRule type="expression" dxfId="362" priority="31" stopIfTrue="1">
      <formula>($C140&gt;0)</formula>
    </cfRule>
    <cfRule type="expression" dxfId="361" priority="32" stopIfTrue="1">
      <formula>AND($C140&lt;0,$C140&gt;=$AB$2)</formula>
    </cfRule>
    <cfRule type="expression" dxfId="360" priority="33" stopIfTrue="1">
      <formula>($C140&lt;$AB$2)</formula>
    </cfRule>
  </conditionalFormatting>
  <conditionalFormatting sqref="AE140">
    <cfRule type="expression" dxfId="359" priority="28" stopIfTrue="1">
      <formula>($D140&gt;0)</formula>
    </cfRule>
    <cfRule type="expression" dxfId="358" priority="29" stopIfTrue="1">
      <formula>AND($D140&lt;0,$D140&gt;=$AE$2)</formula>
    </cfRule>
    <cfRule type="expression" dxfId="357" priority="30" stopIfTrue="1">
      <formula>($D140&lt;$AE$2)</formula>
    </cfRule>
  </conditionalFormatting>
  <conditionalFormatting sqref="AB140">
    <cfRule type="expression" dxfId="356" priority="25" stopIfTrue="1">
      <formula>($C140&gt;0)</formula>
    </cfRule>
    <cfRule type="expression" dxfId="355" priority="26" stopIfTrue="1">
      <formula>AND($C140&lt;0,$C140&gt;=$AB$2)</formula>
    </cfRule>
    <cfRule type="expression" dxfId="354" priority="27" stopIfTrue="1">
      <formula>($C140&lt;$AB$2)</formula>
    </cfRule>
  </conditionalFormatting>
  <conditionalFormatting sqref="AE140">
    <cfRule type="expression" dxfId="353" priority="22" stopIfTrue="1">
      <formula>($D140&gt;0)</formula>
    </cfRule>
    <cfRule type="expression" dxfId="352" priority="23" stopIfTrue="1">
      <formula>AND($D140&lt;0,$D140&gt;=$AE$2)</formula>
    </cfRule>
    <cfRule type="expression" dxfId="351" priority="24" stopIfTrue="1">
      <formula>($D140&lt;$AE$2)</formula>
    </cfRule>
  </conditionalFormatting>
  <conditionalFormatting sqref="AB140">
    <cfRule type="expression" dxfId="350" priority="19" stopIfTrue="1">
      <formula>($C140&gt;0)</formula>
    </cfRule>
    <cfRule type="expression" dxfId="349" priority="20" stopIfTrue="1">
      <formula>AND($C140&lt;0,$C140&gt;=$AB$2)</formula>
    </cfRule>
    <cfRule type="expression" dxfId="348" priority="21" stopIfTrue="1">
      <formula>($C140&lt;$AB$2)</formula>
    </cfRule>
  </conditionalFormatting>
  <conditionalFormatting sqref="AB230">
    <cfRule type="expression" dxfId="347" priority="16" stopIfTrue="1">
      <formula>($C230&gt;0)</formula>
    </cfRule>
    <cfRule type="expression" dxfId="346" priority="17" stopIfTrue="1">
      <formula>AND($C230&lt;0,$C230&gt;=$AB$2)</formula>
    </cfRule>
    <cfRule type="expression" dxfId="345" priority="18" stopIfTrue="1">
      <formula>($C230&lt;$AB$2)</formula>
    </cfRule>
  </conditionalFormatting>
  <conditionalFormatting sqref="AE230">
    <cfRule type="expression" dxfId="344" priority="13" stopIfTrue="1">
      <formula>($D230&gt;0)</formula>
    </cfRule>
    <cfRule type="expression" dxfId="343" priority="14" stopIfTrue="1">
      <formula>AND($D230&lt;0,$D230&gt;=$AE$2)</formula>
    </cfRule>
    <cfRule type="expression" dxfId="342" priority="15" stopIfTrue="1">
      <formula>($D230&lt;$AE$2)</formula>
    </cfRule>
  </conditionalFormatting>
  <conditionalFormatting sqref="AB230">
    <cfRule type="expression" dxfId="341" priority="10" stopIfTrue="1">
      <formula>($C230&gt;0)</formula>
    </cfRule>
    <cfRule type="expression" dxfId="340" priority="11" stopIfTrue="1">
      <formula>AND($C230&lt;0,$C230&gt;=$AB$2)</formula>
    </cfRule>
    <cfRule type="expression" dxfId="339" priority="12" stopIfTrue="1">
      <formula>($C230&lt;$AB$2)</formula>
    </cfRule>
  </conditionalFormatting>
  <conditionalFormatting sqref="AE230">
    <cfRule type="expression" dxfId="338" priority="7" stopIfTrue="1">
      <formula>($D230&gt;0)</formula>
    </cfRule>
    <cfRule type="expression" dxfId="337" priority="8" stopIfTrue="1">
      <formula>AND($D230&lt;0,$D230&gt;=$AE$2)</formula>
    </cfRule>
    <cfRule type="expression" dxfId="336" priority="9" stopIfTrue="1">
      <formula>($D230&lt;$AE$2)</formula>
    </cfRule>
  </conditionalFormatting>
  <conditionalFormatting sqref="AE300">
    <cfRule type="expression" dxfId="335" priority="4" stopIfTrue="1">
      <formula>($D300&gt;0)</formula>
    </cfRule>
    <cfRule type="expression" dxfId="334" priority="5" stopIfTrue="1">
      <formula>AND($D300&lt;0,$D300&gt;=$AE$2)</formula>
    </cfRule>
    <cfRule type="expression" dxfId="333" priority="6" stopIfTrue="1">
      <formula>($D300&lt;$AE$2)</formula>
    </cfRule>
  </conditionalFormatting>
  <conditionalFormatting sqref="AE302">
    <cfRule type="expression" dxfId="332" priority="1" stopIfTrue="1">
      <formula>($D302&gt;0)</formula>
    </cfRule>
    <cfRule type="expression" dxfId="331" priority="2" stopIfTrue="1">
      <formula>AND($D302&lt;0,$D302&gt;=$AE$2)</formula>
    </cfRule>
    <cfRule type="expression" dxfId="330" priority="3" stopIfTrue="1">
      <formula>($D302&lt;$AE$2)</formula>
    </cfRule>
  </conditionalFormatting>
  <printOptions horizontalCentered="1"/>
  <pageMargins left="0" right="0" top="0" bottom="0" header="0.11811023622047245" footer="7.874015748031496E-2"/>
  <pageSetup paperSize="9" scale="44" fitToHeight="2" orientation="portrait" r:id="rId1"/>
  <headerFooter alignWithMargins="0">
    <oddHeader>&amp;CFICHE SUIVEUSE&amp;R&amp;D - &amp;T</oddHeader>
  </headerFooter>
  <rowBreaks count="1" manualBreakCount="1">
    <brk id="201" min="5" max="2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435"/>
  <sheetViews>
    <sheetView showGridLines="0" topLeftCell="E7" zoomScale="70" zoomScaleNormal="70" zoomScaleSheetLayoutView="75" workbookViewId="0">
      <pane ySplit="9" topLeftCell="A16" activePane="bottomLeft" state="frozen"/>
      <selection activeCell="W25" sqref="W25"/>
      <selection pane="bottomLeft" activeCell="X16" sqref="X16"/>
    </sheetView>
  </sheetViews>
  <sheetFormatPr baseColWidth="10" defaultRowHeight="14.25" outlineLevelRow="2" outlineLevelCol="1" x14ac:dyDescent="0.2"/>
  <cols>
    <col min="1" max="1" width="24.85546875" style="8" hidden="1" customWidth="1" outlineLevel="1"/>
    <col min="2" max="2" width="30.42578125" style="8" hidden="1" customWidth="1" outlineLevel="1"/>
    <col min="3" max="4" width="12.5703125" style="8" hidden="1" customWidth="1" outlineLevel="1"/>
    <col min="5" max="5" width="2.7109375" style="8" customWidth="1" collapsed="1"/>
    <col min="6" max="6" width="35.28515625" style="7" customWidth="1"/>
    <col min="7" max="7" width="1.140625" style="8" customWidth="1"/>
    <col min="8" max="10" width="10.140625" style="8" customWidth="1"/>
    <col min="11" max="11" width="10.140625" style="9" customWidth="1" outlineLevel="1"/>
    <col min="12" max="12" width="10.5703125" style="9" customWidth="1"/>
    <col min="13" max="24" width="8.7109375" style="8" customWidth="1"/>
    <col min="25" max="25" width="10.140625" style="8" customWidth="1"/>
    <col min="26" max="26" width="1.140625" style="8" customWidth="1"/>
    <col min="27" max="27" width="10.140625" style="8" customWidth="1"/>
    <col min="28" max="28" width="8.7109375" style="11" customWidth="1"/>
    <col min="29" max="29" width="1.140625" style="8" customWidth="1"/>
    <col min="30" max="30" width="10.140625" style="8" customWidth="1" outlineLevel="1"/>
    <col min="31" max="31" width="8.7109375" style="11" customWidth="1" outlineLevel="1"/>
    <col min="32" max="16384" width="11.42578125" style="8"/>
  </cols>
  <sheetData>
    <row r="1" spans="1:31" ht="14.25" hidden="1" customHeight="1" outlineLevel="1" x14ac:dyDescent="0.2">
      <c r="A1" s="7" t="s">
        <v>3</v>
      </c>
      <c r="B1" s="7"/>
      <c r="I1" s="10" t="s">
        <v>15</v>
      </c>
      <c r="M1" s="10" t="s">
        <v>5</v>
      </c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321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15</v>
      </c>
      <c r="AB1" s="53"/>
      <c r="AE1" s="53"/>
    </row>
    <row r="2" spans="1:31" ht="12.75" hidden="1" customHeight="1" outlineLevel="1" x14ac:dyDescent="0.2">
      <c r="A2" s="7" t="s">
        <v>4</v>
      </c>
      <c r="B2" s="7"/>
      <c r="H2" s="12" t="s">
        <v>27</v>
      </c>
      <c r="I2" s="12" t="s">
        <v>28</v>
      </c>
      <c r="J2" s="12" t="s">
        <v>29</v>
      </c>
      <c r="K2" s="13" t="s">
        <v>32</v>
      </c>
      <c r="L2" s="13" t="s">
        <v>33</v>
      </c>
      <c r="M2" s="14" t="b">
        <v>1</v>
      </c>
      <c r="N2" s="14" t="b">
        <v>1</v>
      </c>
      <c r="O2" s="14" t="b">
        <v>1</v>
      </c>
      <c r="P2" s="14" t="b">
        <v>1</v>
      </c>
      <c r="Q2" s="14" t="b">
        <v>1</v>
      </c>
      <c r="R2" s="14" t="b">
        <v>1</v>
      </c>
      <c r="S2" s="14" t="b">
        <v>1</v>
      </c>
      <c r="T2" s="14" t="b">
        <v>1</v>
      </c>
      <c r="U2" s="14" t="b">
        <v>1</v>
      </c>
      <c r="V2" s="14" t="b">
        <v>1</v>
      </c>
      <c r="W2" s="14" t="b">
        <v>1</v>
      </c>
      <c r="X2" s="14" t="b">
        <v>1</v>
      </c>
      <c r="Y2" s="12" t="s">
        <v>33</v>
      </c>
      <c r="AA2" s="128"/>
      <c r="AB2" s="129">
        <v>-0.15</v>
      </c>
      <c r="AD2" s="128"/>
      <c r="AE2" s="129">
        <v>-0.15</v>
      </c>
    </row>
    <row r="3" spans="1:31" ht="14.25" hidden="1" customHeight="1" outlineLevel="1" x14ac:dyDescent="0.15">
      <c r="A3" s="7" t="s">
        <v>414</v>
      </c>
      <c r="B3" s="7"/>
      <c r="H3" s="127" t="s">
        <v>459</v>
      </c>
      <c r="I3" s="127" t="s">
        <v>459</v>
      </c>
      <c r="J3" s="127" t="s">
        <v>459</v>
      </c>
      <c r="K3" s="130" t="s">
        <v>460</v>
      </c>
      <c r="L3" s="130" t="s">
        <v>461</v>
      </c>
      <c r="M3" s="127" t="s">
        <v>459</v>
      </c>
      <c r="N3" s="127" t="s">
        <v>459</v>
      </c>
      <c r="O3" s="127" t="s">
        <v>459</v>
      </c>
      <c r="P3" s="127" t="s">
        <v>459</v>
      </c>
      <c r="Q3" s="127" t="s">
        <v>459</v>
      </c>
      <c r="R3" s="127" t="s">
        <v>459</v>
      </c>
      <c r="S3" s="127" t="s">
        <v>459</v>
      </c>
      <c r="T3" s="127" t="s">
        <v>459</v>
      </c>
      <c r="U3" s="127" t="s">
        <v>459</v>
      </c>
      <c r="V3" s="127" t="s">
        <v>459</v>
      </c>
      <c r="W3" s="127" t="s">
        <v>459</v>
      </c>
      <c r="X3" s="127" t="s">
        <v>459</v>
      </c>
      <c r="Y3" s="127" t="s">
        <v>459</v>
      </c>
      <c r="AB3" s="53"/>
      <c r="AE3" s="53"/>
    </row>
    <row r="4" spans="1:31" ht="14.25" hidden="1" customHeight="1" outlineLevel="1" x14ac:dyDescent="0.15">
      <c r="A4" s="15" t="s">
        <v>462</v>
      </c>
      <c r="B4" s="7"/>
      <c r="H4" s="127" t="s">
        <v>463</v>
      </c>
      <c r="I4" s="127" t="s">
        <v>463</v>
      </c>
      <c r="J4" s="127" t="s">
        <v>463</v>
      </c>
      <c r="K4" s="130" t="s">
        <v>464</v>
      </c>
      <c r="L4" s="130" t="s">
        <v>465</v>
      </c>
      <c r="M4" s="127" t="s">
        <v>463</v>
      </c>
      <c r="N4" s="127" t="s">
        <v>463</v>
      </c>
      <c r="O4" s="127" t="s">
        <v>463</v>
      </c>
      <c r="P4" s="127" t="s">
        <v>463</v>
      </c>
      <c r="Q4" s="127" t="s">
        <v>463</v>
      </c>
      <c r="R4" s="127" t="s">
        <v>463</v>
      </c>
      <c r="S4" s="127" t="s">
        <v>463</v>
      </c>
      <c r="T4" s="127" t="s">
        <v>463</v>
      </c>
      <c r="U4" s="127" t="s">
        <v>463</v>
      </c>
      <c r="V4" s="127" t="s">
        <v>463</v>
      </c>
      <c r="W4" s="127" t="s">
        <v>463</v>
      </c>
      <c r="X4" s="127" t="s">
        <v>463</v>
      </c>
      <c r="Y4" s="127" t="s">
        <v>463</v>
      </c>
      <c r="AA4" s="128"/>
      <c r="AB4" s="131"/>
      <c r="AD4" s="128"/>
      <c r="AE4" s="131"/>
    </row>
    <row r="5" spans="1:31" ht="14.25" hidden="1" customHeight="1" outlineLevel="1" x14ac:dyDescent="0.15">
      <c r="B5" s="7"/>
      <c r="H5" s="127" t="s">
        <v>466</v>
      </c>
      <c r="I5" s="127" t="s">
        <v>467</v>
      </c>
      <c r="J5" s="127" t="s">
        <v>467</v>
      </c>
      <c r="K5" s="130" t="s">
        <v>468</v>
      </c>
      <c r="L5" s="130" t="s">
        <v>469</v>
      </c>
      <c r="M5" s="127" t="s">
        <v>468</v>
      </c>
      <c r="N5" s="127" t="s">
        <v>470</v>
      </c>
      <c r="O5" s="127" t="s">
        <v>471</v>
      </c>
      <c r="P5" s="127" t="s">
        <v>472</v>
      </c>
      <c r="Q5" s="127" t="s">
        <v>473</v>
      </c>
      <c r="R5" s="127" t="s">
        <v>474</v>
      </c>
      <c r="S5" s="127" t="s">
        <v>475</v>
      </c>
      <c r="T5" s="127" t="s">
        <v>476</v>
      </c>
      <c r="U5" s="127" t="s">
        <v>477</v>
      </c>
      <c r="V5" s="127" t="s">
        <v>478</v>
      </c>
      <c r="W5" s="127" t="s">
        <v>479</v>
      </c>
      <c r="X5" s="127" t="s">
        <v>480</v>
      </c>
      <c r="Y5" s="127" t="s">
        <v>480</v>
      </c>
      <c r="AA5" s="128"/>
      <c r="AB5" s="131"/>
      <c r="AD5" s="128"/>
      <c r="AE5" s="131"/>
    </row>
    <row r="6" spans="1:31" ht="14.25" hidden="1" customHeight="1" outlineLevel="1" x14ac:dyDescent="0.2">
      <c r="G6" s="7"/>
      <c r="I6" s="9" t="s">
        <v>491</v>
      </c>
      <c r="J6" s="9" t="s">
        <v>491</v>
      </c>
      <c r="K6" s="9" t="s">
        <v>491</v>
      </c>
      <c r="L6" s="9" t="s">
        <v>491</v>
      </c>
      <c r="AB6" s="53"/>
      <c r="AE6" s="53"/>
    </row>
    <row r="7" spans="1:31" s="16" customFormat="1" ht="15.75" collapsed="1" x14ac:dyDescent="0.2">
      <c r="F7" s="6" t="s">
        <v>383</v>
      </c>
      <c r="K7" s="18"/>
      <c r="L7" s="18"/>
      <c r="M7" s="19"/>
      <c r="AB7" s="20"/>
      <c r="AE7" s="20"/>
    </row>
    <row r="8" spans="1:31" s="21" customFormat="1" ht="7.5" customHeight="1" x14ac:dyDescent="0.2">
      <c r="F8" s="138"/>
      <c r="G8" s="16"/>
      <c r="J8" s="24"/>
      <c r="K8" s="23"/>
      <c r="L8" s="23"/>
      <c r="Z8" s="16"/>
      <c r="AA8" s="24"/>
      <c r="AB8" s="22"/>
      <c r="AD8" s="24"/>
      <c r="AE8" s="22"/>
    </row>
    <row r="9" spans="1:31" ht="12.75" customHeight="1" x14ac:dyDescent="0.2">
      <c r="F9" s="300" t="s">
        <v>411</v>
      </c>
      <c r="G9" s="16"/>
      <c r="H9" s="135" t="s">
        <v>1</v>
      </c>
      <c r="I9" s="26" t="s">
        <v>1</v>
      </c>
      <c r="J9" s="26" t="s">
        <v>1</v>
      </c>
      <c r="K9" s="136" t="s">
        <v>380</v>
      </c>
      <c r="L9" s="136" t="s">
        <v>449</v>
      </c>
      <c r="M9" s="27" t="s">
        <v>1</v>
      </c>
      <c r="N9" s="27" t="s">
        <v>1</v>
      </c>
      <c r="O9" s="27" t="s">
        <v>1</v>
      </c>
      <c r="P9" s="27" t="s">
        <v>1</v>
      </c>
      <c r="Q9" s="27" t="s">
        <v>1</v>
      </c>
      <c r="R9" s="27" t="s">
        <v>1</v>
      </c>
      <c r="S9" s="27" t="s">
        <v>1</v>
      </c>
      <c r="T9" s="27" t="s">
        <v>1</v>
      </c>
      <c r="U9" s="27" t="s">
        <v>1</v>
      </c>
      <c r="V9" s="27" t="s">
        <v>1</v>
      </c>
      <c r="W9" s="27" t="s">
        <v>1</v>
      </c>
      <c r="X9" s="27" t="s">
        <v>1</v>
      </c>
      <c r="Y9" s="139" t="s">
        <v>1</v>
      </c>
      <c r="Z9" s="16"/>
      <c r="AA9" s="296" t="s">
        <v>482</v>
      </c>
      <c r="AB9" s="298" t="s">
        <v>483</v>
      </c>
      <c r="AC9" s="25"/>
      <c r="AD9" s="296" t="s">
        <v>484</v>
      </c>
      <c r="AE9" s="298" t="s">
        <v>485</v>
      </c>
    </row>
    <row r="10" spans="1:31" ht="12.75" customHeight="1" x14ac:dyDescent="0.2">
      <c r="F10" s="300"/>
      <c r="G10" s="16"/>
      <c r="H10" s="28" t="s">
        <v>486</v>
      </c>
      <c r="I10" s="28" t="s">
        <v>487</v>
      </c>
      <c r="J10" s="28" t="s">
        <v>487</v>
      </c>
      <c r="K10" s="137" t="s">
        <v>450</v>
      </c>
      <c r="L10" s="137" t="s">
        <v>450</v>
      </c>
      <c r="M10" s="29" t="s">
        <v>5</v>
      </c>
      <c r="N10" s="29" t="s">
        <v>6</v>
      </c>
      <c r="O10" s="29" t="s">
        <v>7</v>
      </c>
      <c r="P10" s="29" t="s">
        <v>8</v>
      </c>
      <c r="Q10" s="29" t="s">
        <v>9</v>
      </c>
      <c r="R10" s="29" t="s">
        <v>10</v>
      </c>
      <c r="S10" s="29" t="s">
        <v>321</v>
      </c>
      <c r="T10" s="29" t="s">
        <v>11</v>
      </c>
      <c r="U10" s="29" t="s">
        <v>12</v>
      </c>
      <c r="V10" s="29" t="s">
        <v>13</v>
      </c>
      <c r="W10" s="29" t="s">
        <v>14</v>
      </c>
      <c r="X10" s="29" t="s">
        <v>15</v>
      </c>
      <c r="Y10" s="140" t="s">
        <v>488</v>
      </c>
      <c r="Z10" s="16"/>
      <c r="AA10" s="297"/>
      <c r="AB10" s="299"/>
      <c r="AC10" s="25"/>
      <c r="AD10" s="297"/>
      <c r="AE10" s="299"/>
    </row>
    <row r="11" spans="1:31" ht="18" hidden="1" customHeight="1" outlineLevel="1" x14ac:dyDescent="0.2">
      <c r="A11" s="30" t="s">
        <v>2</v>
      </c>
      <c r="B11" s="30" t="s">
        <v>230</v>
      </c>
      <c r="C11" s="4">
        <v>-0.21264875046646486</v>
      </c>
      <c r="D11" s="4">
        <v>7.1222372917313856E-3</v>
      </c>
      <c r="F11" s="94" t="s">
        <v>280</v>
      </c>
      <c r="G11" s="16"/>
      <c r="H11" s="59">
        <v>83.79</v>
      </c>
      <c r="I11" s="59">
        <v>121.44</v>
      </c>
      <c r="J11" s="59">
        <v>121.44</v>
      </c>
      <c r="K11" s="86">
        <v>168.82300000000001</v>
      </c>
      <c r="L11" s="86">
        <v>131.98099999999999</v>
      </c>
      <c r="M11" s="59">
        <v>9.4009999999999998</v>
      </c>
      <c r="N11" s="59">
        <v>10.402999999999999</v>
      </c>
      <c r="O11" s="59">
        <v>10.615000000000002</v>
      </c>
      <c r="P11" s="59">
        <v>9.6699999999999982</v>
      </c>
      <c r="Q11" s="59">
        <v>9.86</v>
      </c>
      <c r="R11" s="59">
        <v>10.041000000000004</v>
      </c>
      <c r="S11" s="59">
        <v>18.612000000000002</v>
      </c>
      <c r="T11" s="59">
        <v>10.995999999999995</v>
      </c>
      <c r="U11" s="59">
        <v>10.451999999999998</v>
      </c>
      <c r="V11" s="59">
        <v>12.165000000000006</v>
      </c>
      <c r="W11" s="59">
        <v>10.805999999999997</v>
      </c>
      <c r="X11" s="59">
        <v>9.8989999999999867</v>
      </c>
      <c r="Y11" s="59">
        <v>132.91999999999999</v>
      </c>
      <c r="Z11" s="16"/>
      <c r="AA11" s="59">
        <v>168.82300000000001</v>
      </c>
      <c r="AB11" s="60">
        <v>-35.9</v>
      </c>
      <c r="AC11" s="31"/>
      <c r="AD11" s="59">
        <v>131.98099999999999</v>
      </c>
      <c r="AE11" s="60">
        <v>0.94</v>
      </c>
    </row>
    <row r="12" spans="1:31" ht="18" hidden="1" customHeight="1" outlineLevel="1" x14ac:dyDescent="0.2">
      <c r="A12" s="30" t="s">
        <v>2</v>
      </c>
      <c r="B12" s="30" t="s">
        <v>233</v>
      </c>
      <c r="C12" s="4">
        <v>4.8235499329015538E-2</v>
      </c>
      <c r="D12" s="4">
        <v>1.1567260128436768E-2</v>
      </c>
      <c r="F12" s="94" t="s">
        <v>281</v>
      </c>
      <c r="G12" s="16"/>
      <c r="H12" s="59">
        <v>2461.8249999999998</v>
      </c>
      <c r="I12" s="59">
        <v>2318.607</v>
      </c>
      <c r="J12" s="59">
        <v>2318.607</v>
      </c>
      <c r="K12" s="86">
        <v>2281.7220000000002</v>
      </c>
      <c r="L12" s="86">
        <v>2364.4319999999998</v>
      </c>
      <c r="M12" s="59">
        <v>183.22399999999999</v>
      </c>
      <c r="N12" s="59">
        <v>162.30599999999998</v>
      </c>
      <c r="O12" s="59">
        <v>179.23900000000003</v>
      </c>
      <c r="P12" s="59">
        <v>230.48599999999999</v>
      </c>
      <c r="Q12" s="59">
        <v>209.077</v>
      </c>
      <c r="R12" s="59">
        <v>198.17999999999995</v>
      </c>
      <c r="S12" s="59">
        <v>192.05300000000011</v>
      </c>
      <c r="T12" s="59">
        <v>215.96100000000001</v>
      </c>
      <c r="U12" s="59">
        <v>190.44899999999984</v>
      </c>
      <c r="V12" s="59">
        <v>170.20100000000002</v>
      </c>
      <c r="W12" s="59">
        <v>189.44200000000001</v>
      </c>
      <c r="X12" s="59">
        <v>271.16600000000017</v>
      </c>
      <c r="Y12" s="59">
        <v>2391.7840000000001</v>
      </c>
      <c r="Z12" s="16"/>
      <c r="AA12" s="59">
        <v>2281.7220000000002</v>
      </c>
      <c r="AB12" s="60">
        <v>110.06</v>
      </c>
      <c r="AC12" s="31"/>
      <c r="AD12" s="59">
        <v>2364.4319999999998</v>
      </c>
      <c r="AE12" s="60">
        <v>27.35</v>
      </c>
    </row>
    <row r="13" spans="1:31" ht="18" hidden="1" customHeight="1" outlineLevel="1" x14ac:dyDescent="0.2">
      <c r="A13" s="30" t="s">
        <v>2</v>
      </c>
      <c r="B13" s="30" t="s">
        <v>229</v>
      </c>
      <c r="C13" s="4">
        <v>0</v>
      </c>
      <c r="D13" s="4">
        <v>0</v>
      </c>
      <c r="F13" s="94" t="s">
        <v>282</v>
      </c>
      <c r="G13" s="16"/>
      <c r="H13" s="59">
        <v>0</v>
      </c>
      <c r="I13" s="59">
        <v>0</v>
      </c>
      <c r="J13" s="59">
        <v>0</v>
      </c>
      <c r="K13" s="86">
        <v>0</v>
      </c>
      <c r="L13" s="86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16"/>
      <c r="AA13" s="59">
        <v>0</v>
      </c>
      <c r="AB13" s="60">
        <v>0</v>
      </c>
      <c r="AC13" s="31"/>
      <c r="AD13" s="59">
        <v>0</v>
      </c>
      <c r="AE13" s="60">
        <v>0</v>
      </c>
    </row>
    <row r="14" spans="1:31" ht="18" hidden="1" customHeight="1" outlineLevel="1" x14ac:dyDescent="0.2">
      <c r="A14" s="30" t="s">
        <v>2</v>
      </c>
      <c r="B14" s="30" t="s">
        <v>232</v>
      </c>
      <c r="C14" s="4">
        <v>0.146905557850981</v>
      </c>
      <c r="D14" s="4">
        <v>4.2537143258082055E-3</v>
      </c>
      <c r="F14" s="94" t="s">
        <v>283</v>
      </c>
      <c r="G14" s="16"/>
      <c r="H14" s="59">
        <v>1631.8510000000001</v>
      </c>
      <c r="I14" s="59">
        <v>1771.527</v>
      </c>
      <c r="J14" s="59">
        <v>1771.527</v>
      </c>
      <c r="K14" s="86">
        <v>1996.7249999999999</v>
      </c>
      <c r="L14" s="86">
        <v>2280.36</v>
      </c>
      <c r="M14" s="59">
        <v>156.285</v>
      </c>
      <c r="N14" s="59">
        <v>190.53600000000003</v>
      </c>
      <c r="O14" s="59">
        <v>198.58199999999999</v>
      </c>
      <c r="P14" s="59">
        <v>167.28700000000003</v>
      </c>
      <c r="Q14" s="59">
        <v>206.42099999999994</v>
      </c>
      <c r="R14" s="59">
        <v>190.55599999999993</v>
      </c>
      <c r="S14" s="59">
        <v>190.48199999999997</v>
      </c>
      <c r="T14" s="59">
        <v>203.21400000000017</v>
      </c>
      <c r="U14" s="59">
        <v>195.33799999999997</v>
      </c>
      <c r="V14" s="59">
        <v>232.51800000000003</v>
      </c>
      <c r="W14" s="59">
        <v>223.98000000000002</v>
      </c>
      <c r="X14" s="59">
        <v>134.85899999999992</v>
      </c>
      <c r="Y14" s="59">
        <v>2290.058</v>
      </c>
      <c r="Z14" s="16"/>
      <c r="AA14" s="59">
        <v>1996.7249999999997</v>
      </c>
      <c r="AB14" s="60">
        <v>293.33</v>
      </c>
      <c r="AC14" s="31"/>
      <c r="AD14" s="59">
        <v>2280.36</v>
      </c>
      <c r="AE14" s="60">
        <v>9.6999999999999993</v>
      </c>
    </row>
    <row r="15" spans="1:31" ht="18" hidden="1" customHeight="1" outlineLevel="1" x14ac:dyDescent="0.2">
      <c r="A15" s="30" t="s">
        <v>2</v>
      </c>
      <c r="B15" s="30" t="s">
        <v>231</v>
      </c>
      <c r="C15" s="4">
        <v>0</v>
      </c>
      <c r="D15" s="4">
        <v>0</v>
      </c>
      <c r="F15" s="94" t="s">
        <v>284</v>
      </c>
      <c r="G15" s="16"/>
      <c r="H15" s="59">
        <v>0</v>
      </c>
      <c r="I15" s="59">
        <v>0</v>
      </c>
      <c r="J15" s="59">
        <v>0</v>
      </c>
      <c r="K15" s="86">
        <v>0</v>
      </c>
      <c r="L15" s="86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16"/>
      <c r="AA15" s="59">
        <v>0</v>
      </c>
      <c r="AB15" s="60">
        <v>0</v>
      </c>
      <c r="AC15" s="31"/>
      <c r="AD15" s="59">
        <v>0</v>
      </c>
      <c r="AE15" s="60">
        <v>0</v>
      </c>
    </row>
    <row r="16" spans="1:31" ht="18" customHeight="1" collapsed="1" x14ac:dyDescent="0.2">
      <c r="A16" s="30" t="s">
        <v>2</v>
      </c>
      <c r="B16" s="30" t="s">
        <v>203</v>
      </c>
      <c r="C16" s="4">
        <v>8.2632716250643654E-2</v>
      </c>
      <c r="D16" s="4">
        <v>7.9530678975115628E-3</v>
      </c>
      <c r="E16" s="9"/>
      <c r="F16" s="51" t="s">
        <v>285</v>
      </c>
      <c r="G16" s="16"/>
      <c r="H16" s="61">
        <v>4177.4660000000003</v>
      </c>
      <c r="I16" s="61">
        <v>4211.5739999999996</v>
      </c>
      <c r="J16" s="61">
        <v>4211.5739999999996</v>
      </c>
      <c r="K16" s="86">
        <v>4447.2700000000004</v>
      </c>
      <c r="L16" s="86">
        <v>4776.7730000000001</v>
      </c>
      <c r="M16" s="61">
        <v>348.91</v>
      </c>
      <c r="N16" s="61">
        <v>363.24499999999995</v>
      </c>
      <c r="O16" s="61">
        <v>388.43599999999992</v>
      </c>
      <c r="P16" s="61">
        <v>407.44300000000021</v>
      </c>
      <c r="Q16" s="61">
        <v>425.35799999999995</v>
      </c>
      <c r="R16" s="61">
        <v>398.77699999999982</v>
      </c>
      <c r="S16" s="61">
        <v>401.14699999999993</v>
      </c>
      <c r="T16" s="61">
        <v>430.17100000000028</v>
      </c>
      <c r="U16" s="61">
        <v>396.23900000000003</v>
      </c>
      <c r="V16" s="61">
        <v>414.88400000000001</v>
      </c>
      <c r="W16" s="61">
        <v>424.22799999999961</v>
      </c>
      <c r="X16" s="61">
        <v>415.92399999999998</v>
      </c>
      <c r="Y16" s="61">
        <v>4814.7619999999997</v>
      </c>
      <c r="Z16" s="16"/>
      <c r="AA16" s="61">
        <v>4447.2700000000004</v>
      </c>
      <c r="AB16" s="60">
        <v>367.49</v>
      </c>
      <c r="AD16" s="61">
        <v>4776.7730000000001</v>
      </c>
      <c r="AE16" s="60">
        <v>37.99</v>
      </c>
    </row>
    <row r="17" spans="1:33" ht="18" customHeight="1" x14ac:dyDescent="0.2">
      <c r="A17" s="30" t="s">
        <v>2</v>
      </c>
      <c r="B17" s="30" t="s">
        <v>31</v>
      </c>
      <c r="C17" s="4">
        <v>0</v>
      </c>
      <c r="D17" s="4">
        <v>0</v>
      </c>
      <c r="F17" s="51" t="s">
        <v>286</v>
      </c>
      <c r="G17" s="16"/>
      <c r="H17" s="61">
        <v>0</v>
      </c>
      <c r="I17" s="61">
        <v>0</v>
      </c>
      <c r="J17" s="61">
        <v>0</v>
      </c>
      <c r="K17" s="86">
        <v>0</v>
      </c>
      <c r="L17" s="86">
        <v>0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61">
        <v>0</v>
      </c>
      <c r="W17" s="61">
        <v>0</v>
      </c>
      <c r="X17" s="61">
        <v>0</v>
      </c>
      <c r="Y17" s="61">
        <v>0</v>
      </c>
      <c r="Z17" s="16"/>
      <c r="AA17" s="61">
        <v>0</v>
      </c>
      <c r="AB17" s="60">
        <v>0</v>
      </c>
      <c r="AD17" s="61">
        <v>0</v>
      </c>
      <c r="AE17" s="60">
        <v>0</v>
      </c>
    </row>
    <row r="18" spans="1:33" s="7" customFormat="1" ht="18" customHeight="1" x14ac:dyDescent="0.2">
      <c r="A18" s="32"/>
      <c r="B18" s="32"/>
      <c r="C18" s="4">
        <v>8.2632716250643654E-2</v>
      </c>
      <c r="D18" s="4">
        <v>7.9530678975115628E-3</v>
      </c>
      <c r="E18" s="8"/>
      <c r="F18" s="45" t="s">
        <v>217</v>
      </c>
      <c r="G18" s="16"/>
      <c r="H18" s="62">
        <v>4177.4660000000003</v>
      </c>
      <c r="I18" s="62">
        <v>4211.5739999999996</v>
      </c>
      <c r="J18" s="62">
        <v>4211.5739999999996</v>
      </c>
      <c r="K18" s="108">
        <v>4447.2700000000004</v>
      </c>
      <c r="L18" s="108">
        <v>4776.7730000000001</v>
      </c>
      <c r="M18" s="62">
        <v>348.91</v>
      </c>
      <c r="N18" s="62">
        <v>363.24499999999995</v>
      </c>
      <c r="O18" s="62">
        <v>388.43599999999992</v>
      </c>
      <c r="P18" s="62">
        <v>407.44300000000021</v>
      </c>
      <c r="Q18" s="62">
        <v>425.35799999999995</v>
      </c>
      <c r="R18" s="62">
        <v>398.77699999999982</v>
      </c>
      <c r="S18" s="62">
        <v>401.14699999999993</v>
      </c>
      <c r="T18" s="62">
        <v>430.17100000000028</v>
      </c>
      <c r="U18" s="62">
        <v>396.23900000000003</v>
      </c>
      <c r="V18" s="62">
        <v>414.88400000000001</v>
      </c>
      <c r="W18" s="62">
        <v>424.22799999999961</v>
      </c>
      <c r="X18" s="62">
        <v>415.92399999999998</v>
      </c>
      <c r="Y18" s="62">
        <v>4814.7619999999997</v>
      </c>
      <c r="Z18" s="16"/>
      <c r="AA18" s="62">
        <v>4447.2700000000004</v>
      </c>
      <c r="AB18" s="60">
        <v>367.49</v>
      </c>
      <c r="AD18" s="62">
        <v>4776.7730000000001</v>
      </c>
      <c r="AE18" s="60">
        <v>37.99</v>
      </c>
    </row>
    <row r="19" spans="1:33" ht="8.25" customHeight="1" x14ac:dyDescent="0.2">
      <c r="A19" s="116"/>
      <c r="F19" s="8"/>
      <c r="G19" s="16"/>
      <c r="K19" s="8"/>
      <c r="L19" s="8"/>
      <c r="Z19" s="16"/>
      <c r="AB19" s="8"/>
      <c r="AE19" s="8"/>
    </row>
    <row r="20" spans="1:33" s="7" customFormat="1" ht="18" customHeight="1" x14ac:dyDescent="0.2">
      <c r="A20" s="117" t="s">
        <v>310</v>
      </c>
      <c r="B20" s="117" t="s">
        <v>203</v>
      </c>
      <c r="C20" s="5">
        <v>-0.33595289079229118</v>
      </c>
      <c r="D20" s="5">
        <v>5.8395904436860067E-2</v>
      </c>
      <c r="F20" s="118" t="s">
        <v>326</v>
      </c>
      <c r="G20" s="16"/>
      <c r="H20" s="120">
        <v>425.34199999999998</v>
      </c>
      <c r="I20" s="120">
        <v>376.97800000000001</v>
      </c>
      <c r="J20" s="120">
        <v>376.97800000000001</v>
      </c>
      <c r="K20" s="121">
        <v>467</v>
      </c>
      <c r="L20" s="121">
        <v>293</v>
      </c>
      <c r="M20" s="120">
        <v>17.526</v>
      </c>
      <c r="N20" s="120">
        <v>31.495999999999999</v>
      </c>
      <c r="O20" s="120">
        <v>24.550999999999995</v>
      </c>
      <c r="P20" s="120">
        <v>20.573000000000008</v>
      </c>
      <c r="Q20" s="120">
        <v>25.132999999999996</v>
      </c>
      <c r="R20" s="120">
        <v>32.221000000000004</v>
      </c>
      <c r="S20" s="120">
        <v>20.433999999999997</v>
      </c>
      <c r="T20" s="120">
        <v>16.942000000000007</v>
      </c>
      <c r="U20" s="120">
        <v>20.716000000000008</v>
      </c>
      <c r="V20" s="120">
        <v>22.780999999999977</v>
      </c>
      <c r="W20" s="120">
        <v>32.360000000000014</v>
      </c>
      <c r="X20" s="120">
        <v>45.379000000000019</v>
      </c>
      <c r="Y20" s="120">
        <v>310.11200000000002</v>
      </c>
      <c r="Z20" s="16"/>
      <c r="AA20" s="120">
        <v>467</v>
      </c>
      <c r="AB20" s="60">
        <v>-156.88999999999999</v>
      </c>
      <c r="AD20" s="120">
        <v>293</v>
      </c>
      <c r="AE20" s="60">
        <v>17.11</v>
      </c>
    </row>
    <row r="21" spans="1:33" ht="8.25" customHeight="1" x14ac:dyDescent="0.2">
      <c r="A21" s="116"/>
      <c r="F21" s="8"/>
      <c r="G21" s="16"/>
      <c r="K21" s="8"/>
      <c r="L21" s="8"/>
      <c r="Z21" s="16"/>
      <c r="AB21" s="8"/>
      <c r="AE21" s="8"/>
    </row>
    <row r="22" spans="1:33" ht="18" customHeight="1" x14ac:dyDescent="0.2">
      <c r="A22" s="30" t="s">
        <v>310</v>
      </c>
      <c r="B22" s="30" t="s">
        <v>115</v>
      </c>
      <c r="C22" s="4">
        <v>0</v>
      </c>
      <c r="D22" s="4">
        <v>0</v>
      </c>
      <c r="F22" s="51" t="s">
        <v>327</v>
      </c>
      <c r="G22" s="16"/>
      <c r="H22" s="61">
        <v>0</v>
      </c>
      <c r="I22" s="61">
        <v>0</v>
      </c>
      <c r="J22" s="61">
        <v>0</v>
      </c>
      <c r="K22" s="86">
        <v>0</v>
      </c>
      <c r="L22" s="86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16"/>
      <c r="AA22" s="61">
        <v>0</v>
      </c>
      <c r="AB22" s="60">
        <v>0</v>
      </c>
      <c r="AC22" s="34"/>
      <c r="AD22" s="61">
        <v>0</v>
      </c>
      <c r="AE22" s="60">
        <v>0</v>
      </c>
    </row>
    <row r="23" spans="1:33" ht="18" customHeight="1" x14ac:dyDescent="0.2">
      <c r="A23" s="30" t="s">
        <v>310</v>
      </c>
      <c r="B23" s="30" t="s">
        <v>116</v>
      </c>
      <c r="C23" s="4">
        <v>0</v>
      </c>
      <c r="D23" s="4">
        <v>0</v>
      </c>
      <c r="F23" s="51" t="s">
        <v>328</v>
      </c>
      <c r="G23" s="16"/>
      <c r="H23" s="61">
        <v>0</v>
      </c>
      <c r="I23" s="61">
        <v>0</v>
      </c>
      <c r="J23" s="61">
        <v>0</v>
      </c>
      <c r="K23" s="86">
        <v>0</v>
      </c>
      <c r="L23" s="86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16"/>
      <c r="AA23" s="61">
        <v>0</v>
      </c>
      <c r="AB23" s="60">
        <v>0</v>
      </c>
      <c r="AC23" s="34"/>
      <c r="AD23" s="61">
        <v>0</v>
      </c>
      <c r="AE23" s="60">
        <v>0</v>
      </c>
    </row>
    <row r="24" spans="1:33" ht="18" hidden="1" customHeight="1" outlineLevel="1" x14ac:dyDescent="0.2">
      <c r="A24" s="46" t="s">
        <v>298</v>
      </c>
      <c r="B24" s="46" t="s">
        <v>117</v>
      </c>
      <c r="C24" s="47">
        <v>1</v>
      </c>
      <c r="D24" s="47">
        <v>1</v>
      </c>
      <c r="E24" s="31"/>
      <c r="F24" s="94" t="s">
        <v>329</v>
      </c>
      <c r="G24" s="16"/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0.39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0</v>
      </c>
      <c r="X24" s="59">
        <v>0</v>
      </c>
      <c r="Y24" s="59">
        <v>0.39</v>
      </c>
      <c r="Z24" s="16"/>
      <c r="AA24" s="59">
        <v>0</v>
      </c>
      <c r="AB24" s="63">
        <v>0.39</v>
      </c>
      <c r="AC24" s="31"/>
      <c r="AD24" s="59">
        <v>0</v>
      </c>
      <c r="AE24" s="63">
        <v>0.39</v>
      </c>
    </row>
    <row r="25" spans="1:33" ht="18" customHeight="1" collapsed="1" x14ac:dyDescent="0.2">
      <c r="A25" s="32"/>
      <c r="B25" s="32"/>
      <c r="C25" s="4">
        <v>0</v>
      </c>
      <c r="D25" s="4">
        <v>0</v>
      </c>
      <c r="F25" s="51" t="s">
        <v>372</v>
      </c>
      <c r="G25" s="16"/>
      <c r="H25" s="61">
        <v>0</v>
      </c>
      <c r="I25" s="61">
        <v>0</v>
      </c>
      <c r="J25" s="61">
        <v>0</v>
      </c>
      <c r="K25" s="86">
        <v>0</v>
      </c>
      <c r="L25" s="86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16"/>
      <c r="AA25" s="61">
        <v>0</v>
      </c>
      <c r="AB25" s="60">
        <v>0</v>
      </c>
      <c r="AC25" s="34"/>
      <c r="AD25" s="61">
        <v>0</v>
      </c>
      <c r="AE25" s="60">
        <v>0</v>
      </c>
      <c r="AG25" s="48"/>
    </row>
    <row r="26" spans="1:33" ht="18" customHeight="1" x14ac:dyDescent="0.2">
      <c r="A26" s="30" t="s">
        <v>310</v>
      </c>
      <c r="B26" s="30" t="s">
        <v>330</v>
      </c>
      <c r="C26" s="4">
        <v>0</v>
      </c>
      <c r="D26" s="4">
        <v>0</v>
      </c>
      <c r="F26" s="51" t="s">
        <v>331</v>
      </c>
      <c r="G26" s="16"/>
      <c r="H26" s="61">
        <v>0</v>
      </c>
      <c r="I26" s="61">
        <v>0</v>
      </c>
      <c r="J26" s="61">
        <v>0</v>
      </c>
      <c r="K26" s="86">
        <v>0</v>
      </c>
      <c r="L26" s="86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16"/>
      <c r="AA26" s="61">
        <v>0</v>
      </c>
      <c r="AB26" s="60">
        <v>0</v>
      </c>
      <c r="AC26" s="34"/>
      <c r="AD26" s="61">
        <v>0</v>
      </c>
      <c r="AE26" s="60">
        <v>0</v>
      </c>
    </row>
    <row r="27" spans="1:33" ht="18" customHeight="1" x14ac:dyDescent="0.2">
      <c r="A27" s="30" t="s">
        <v>310</v>
      </c>
      <c r="B27" s="30" t="s">
        <v>332</v>
      </c>
      <c r="C27" s="4">
        <v>0</v>
      </c>
      <c r="D27" s="4">
        <v>0</v>
      </c>
      <c r="F27" s="51" t="s">
        <v>333</v>
      </c>
      <c r="G27" s="16"/>
      <c r="H27" s="61">
        <v>0</v>
      </c>
      <c r="I27" s="61">
        <v>0</v>
      </c>
      <c r="J27" s="61">
        <v>0</v>
      </c>
      <c r="K27" s="86">
        <v>0</v>
      </c>
      <c r="L27" s="86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16"/>
      <c r="AA27" s="61">
        <v>0</v>
      </c>
      <c r="AB27" s="60">
        <v>0</v>
      </c>
      <c r="AC27" s="34"/>
      <c r="AD27" s="61">
        <v>0</v>
      </c>
      <c r="AE27" s="60">
        <v>0</v>
      </c>
    </row>
    <row r="28" spans="1:33" ht="18" customHeight="1" x14ac:dyDescent="0.2">
      <c r="A28" s="30" t="s">
        <v>310</v>
      </c>
      <c r="B28" s="30" t="s">
        <v>335</v>
      </c>
      <c r="C28" s="4">
        <v>0</v>
      </c>
      <c r="D28" s="4">
        <v>0</v>
      </c>
      <c r="F28" s="51" t="s">
        <v>336</v>
      </c>
      <c r="G28" s="16"/>
      <c r="H28" s="61">
        <v>0</v>
      </c>
      <c r="I28" s="61">
        <v>0</v>
      </c>
      <c r="J28" s="61">
        <v>0</v>
      </c>
      <c r="K28" s="86">
        <v>0</v>
      </c>
      <c r="L28" s="86">
        <v>0</v>
      </c>
      <c r="M28" s="61">
        <v>0</v>
      </c>
      <c r="N28" s="61">
        <v>0</v>
      </c>
      <c r="O28" s="61">
        <v>0</v>
      </c>
      <c r="P28" s="61">
        <v>0</v>
      </c>
      <c r="Q28" s="61">
        <v>0</v>
      </c>
      <c r="R28" s="61">
        <v>0</v>
      </c>
      <c r="S28" s="61">
        <v>0</v>
      </c>
      <c r="T28" s="61">
        <v>0</v>
      </c>
      <c r="U28" s="61">
        <v>0</v>
      </c>
      <c r="V28" s="61">
        <v>0</v>
      </c>
      <c r="W28" s="61">
        <v>0</v>
      </c>
      <c r="X28" s="61">
        <v>0</v>
      </c>
      <c r="Y28" s="61">
        <v>0</v>
      </c>
      <c r="Z28" s="16"/>
      <c r="AA28" s="61">
        <v>0</v>
      </c>
      <c r="AB28" s="60">
        <v>0</v>
      </c>
      <c r="AC28" s="34"/>
      <c r="AD28" s="61">
        <v>0</v>
      </c>
      <c r="AE28" s="60">
        <v>0</v>
      </c>
    </row>
    <row r="29" spans="1:33" ht="18" customHeight="1" x14ac:dyDescent="0.2">
      <c r="A29" s="30" t="s">
        <v>310</v>
      </c>
      <c r="B29" s="30" t="s">
        <v>337</v>
      </c>
      <c r="C29" s="4">
        <v>0</v>
      </c>
      <c r="D29" s="4">
        <v>0</v>
      </c>
      <c r="F29" s="51" t="s">
        <v>338</v>
      </c>
      <c r="G29" s="16"/>
      <c r="H29" s="61">
        <v>0</v>
      </c>
      <c r="I29" s="61">
        <v>0</v>
      </c>
      <c r="J29" s="61">
        <v>0</v>
      </c>
      <c r="K29" s="86">
        <v>0</v>
      </c>
      <c r="L29" s="86">
        <v>0</v>
      </c>
      <c r="M29" s="61">
        <v>0</v>
      </c>
      <c r="N29" s="61">
        <v>0</v>
      </c>
      <c r="O29" s="61">
        <v>0</v>
      </c>
      <c r="P29" s="61">
        <v>0</v>
      </c>
      <c r="Q29" s="61">
        <v>0</v>
      </c>
      <c r="R29" s="61">
        <v>0</v>
      </c>
      <c r="S29" s="61">
        <v>0</v>
      </c>
      <c r="T29" s="61">
        <v>0</v>
      </c>
      <c r="U29" s="61">
        <v>0</v>
      </c>
      <c r="V29" s="61">
        <v>0</v>
      </c>
      <c r="W29" s="61">
        <v>0</v>
      </c>
      <c r="X29" s="61">
        <v>0</v>
      </c>
      <c r="Y29" s="61">
        <v>0</v>
      </c>
      <c r="Z29" s="16"/>
      <c r="AA29" s="61">
        <v>0</v>
      </c>
      <c r="AB29" s="60">
        <v>0</v>
      </c>
      <c r="AC29" s="34"/>
      <c r="AD29" s="61">
        <v>0</v>
      </c>
      <c r="AE29" s="60">
        <v>0</v>
      </c>
    </row>
    <row r="30" spans="1:33" ht="18" customHeight="1" x14ac:dyDescent="0.2">
      <c r="A30" s="30" t="s">
        <v>310</v>
      </c>
      <c r="B30" s="30" t="s">
        <v>458</v>
      </c>
      <c r="C30" s="4">
        <v>0</v>
      </c>
      <c r="D30" s="4">
        <v>0</v>
      </c>
      <c r="F30" s="213" t="s">
        <v>443</v>
      </c>
      <c r="G30" s="16"/>
      <c r="H30" s="61">
        <v>0</v>
      </c>
      <c r="I30" s="61">
        <v>0</v>
      </c>
      <c r="J30" s="61">
        <v>0</v>
      </c>
      <c r="K30" s="86">
        <v>0</v>
      </c>
      <c r="L30" s="86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16"/>
      <c r="AA30" s="61">
        <v>0</v>
      </c>
      <c r="AB30" s="60">
        <v>0</v>
      </c>
      <c r="AC30" s="34"/>
      <c r="AD30" s="61">
        <v>0</v>
      </c>
      <c r="AE30" s="60">
        <v>0</v>
      </c>
    </row>
    <row r="31" spans="1:33" ht="18" customHeight="1" x14ac:dyDescent="0.2">
      <c r="A31" s="30" t="s">
        <v>310</v>
      </c>
      <c r="B31" s="30" t="s">
        <v>341</v>
      </c>
      <c r="C31" s="4">
        <v>0</v>
      </c>
      <c r="D31" s="4">
        <v>0</v>
      </c>
      <c r="F31" s="51" t="s">
        <v>342</v>
      </c>
      <c r="G31" s="16"/>
      <c r="H31" s="61">
        <v>0</v>
      </c>
      <c r="I31" s="61">
        <v>0</v>
      </c>
      <c r="J31" s="61">
        <v>0</v>
      </c>
      <c r="K31" s="86">
        <v>0</v>
      </c>
      <c r="L31" s="86">
        <v>0</v>
      </c>
      <c r="M31" s="61">
        <v>0</v>
      </c>
      <c r="N31" s="61">
        <v>0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16"/>
      <c r="AA31" s="61">
        <v>0</v>
      </c>
      <c r="AB31" s="60">
        <v>0</v>
      </c>
      <c r="AC31" s="34"/>
      <c r="AD31" s="61">
        <v>0</v>
      </c>
      <c r="AE31" s="60">
        <v>0</v>
      </c>
    </row>
    <row r="32" spans="1:33" ht="18" customHeight="1" x14ac:dyDescent="0.2">
      <c r="A32" s="32"/>
      <c r="B32" s="32"/>
      <c r="C32" s="4">
        <v>0</v>
      </c>
      <c r="D32" s="4">
        <v>0</v>
      </c>
      <c r="F32" s="51" t="s">
        <v>343</v>
      </c>
      <c r="G32" s="16"/>
      <c r="H32" s="61">
        <v>3.3306690738754696E-15</v>
      </c>
      <c r="I32" s="61">
        <v>-1.8540724511240114E-14</v>
      </c>
      <c r="J32" s="61">
        <v>-1.8540724511240114E-14</v>
      </c>
      <c r="K32" s="86">
        <v>0</v>
      </c>
      <c r="L32" s="86">
        <v>2.1316282072803006E-14</v>
      </c>
      <c r="M32" s="61">
        <v>-4.4408920985006262E-16</v>
      </c>
      <c r="N32" s="61">
        <v>3.5527136788005009E-15</v>
      </c>
      <c r="O32" s="61">
        <v>0</v>
      </c>
      <c r="P32" s="61">
        <v>0</v>
      </c>
      <c r="Q32" s="61">
        <v>3.5527136788005009E-15</v>
      </c>
      <c r="R32" s="61">
        <v>-7.9936057773011271E-15</v>
      </c>
      <c r="S32" s="61">
        <v>7.1054273576010019E-15</v>
      </c>
      <c r="T32" s="61">
        <v>-2.1316282072803006E-14</v>
      </c>
      <c r="U32" s="61">
        <v>1.2434497875801753E-14</v>
      </c>
      <c r="V32" s="61">
        <v>3.5527136788005009E-15</v>
      </c>
      <c r="W32" s="61">
        <v>-2.4868995751603507E-14</v>
      </c>
      <c r="X32" s="61">
        <v>-2.4868995751603507E-14</v>
      </c>
      <c r="Y32" s="61">
        <v>-4.9737991503207013E-14</v>
      </c>
      <c r="Z32" s="16"/>
      <c r="AA32" s="61">
        <v>0</v>
      </c>
      <c r="AB32" s="60">
        <v>0</v>
      </c>
      <c r="AC32" s="34"/>
      <c r="AD32" s="61">
        <v>2.1316282072803006E-14</v>
      </c>
      <c r="AE32" s="60">
        <v>0</v>
      </c>
    </row>
    <row r="33" spans="1:33" s="7" customFormat="1" ht="18" customHeight="1" x14ac:dyDescent="0.2">
      <c r="A33" s="32"/>
      <c r="B33" s="32"/>
      <c r="C33" s="5">
        <v>0</v>
      </c>
      <c r="D33" s="5">
        <v>0</v>
      </c>
      <c r="F33" s="118" t="s">
        <v>373</v>
      </c>
      <c r="G33" s="16"/>
      <c r="H33" s="120">
        <v>3.3306690738754696E-15</v>
      </c>
      <c r="I33" s="120">
        <v>-1.8540724511240114E-14</v>
      </c>
      <c r="J33" s="120">
        <v>-1.8540724511240114E-14</v>
      </c>
      <c r="K33" s="121">
        <v>0</v>
      </c>
      <c r="L33" s="121">
        <v>2.1316282072803006E-14</v>
      </c>
      <c r="M33" s="120">
        <v>-4.4408920985006262E-16</v>
      </c>
      <c r="N33" s="120">
        <v>3.5527136788005009E-15</v>
      </c>
      <c r="O33" s="120">
        <v>0</v>
      </c>
      <c r="P33" s="120">
        <v>0</v>
      </c>
      <c r="Q33" s="120">
        <v>3.5527136788005009E-15</v>
      </c>
      <c r="R33" s="120">
        <v>-7.9936057773011271E-15</v>
      </c>
      <c r="S33" s="120">
        <v>7.1054273576010019E-15</v>
      </c>
      <c r="T33" s="120">
        <v>-2.1316282072803006E-14</v>
      </c>
      <c r="U33" s="120">
        <v>1.2434497875801753E-14</v>
      </c>
      <c r="V33" s="120">
        <v>3.5527136788005009E-15</v>
      </c>
      <c r="W33" s="120">
        <v>-2.4868995751603507E-14</v>
      </c>
      <c r="X33" s="120">
        <v>-2.4868995751603507E-14</v>
      </c>
      <c r="Y33" s="120">
        <v>-4.9737991503207013E-14</v>
      </c>
      <c r="Z33" s="16"/>
      <c r="AA33" s="120">
        <v>0</v>
      </c>
      <c r="AB33" s="60">
        <v>0</v>
      </c>
      <c r="AD33" s="120">
        <v>2.1316282072803006E-14</v>
      </c>
      <c r="AE33" s="60">
        <v>0</v>
      </c>
    </row>
    <row r="34" spans="1:33" ht="8.25" customHeight="1" x14ac:dyDescent="0.2">
      <c r="A34" s="116"/>
      <c r="B34" s="116"/>
      <c r="C34" s="4"/>
      <c r="D34" s="4"/>
      <c r="F34" s="8"/>
      <c r="G34" s="16"/>
      <c r="K34" s="8"/>
      <c r="L34" s="8"/>
      <c r="Z34" s="16"/>
      <c r="AB34" s="8"/>
      <c r="AE34" s="8"/>
    </row>
    <row r="35" spans="1:33" ht="18" hidden="1" customHeight="1" outlineLevel="1" x14ac:dyDescent="0.2">
      <c r="A35" s="46" t="s">
        <v>303</v>
      </c>
      <c r="B35" s="46" t="s">
        <v>17</v>
      </c>
      <c r="C35" s="47">
        <v>-0.24848484848484848</v>
      </c>
      <c r="D35" s="47">
        <v>0.21867321867321868</v>
      </c>
      <c r="E35" s="31"/>
      <c r="F35" s="94" t="s">
        <v>346</v>
      </c>
      <c r="G35" s="16"/>
      <c r="H35" s="59">
        <v>32.295000000000002</v>
      </c>
      <c r="I35" s="59">
        <v>33.912999999999997</v>
      </c>
      <c r="J35" s="59">
        <v>33.912999999999997</v>
      </c>
      <c r="K35" s="59">
        <v>33</v>
      </c>
      <c r="L35" s="59">
        <v>20.350000000000001</v>
      </c>
      <c r="M35" s="59">
        <v>1.319</v>
      </c>
      <c r="N35" s="59">
        <v>0</v>
      </c>
      <c r="O35" s="59">
        <v>0</v>
      </c>
      <c r="P35" s="59">
        <v>0</v>
      </c>
      <c r="Q35" s="59">
        <v>5.0990000000000002</v>
      </c>
      <c r="R35" s="59">
        <v>0.91199999999999992</v>
      </c>
      <c r="S35" s="59">
        <v>1.9420000000000002</v>
      </c>
      <c r="T35" s="59">
        <v>3.536999999999999</v>
      </c>
      <c r="U35" s="59">
        <v>3.2530000000000019</v>
      </c>
      <c r="V35" s="59">
        <v>4.3580000000000005</v>
      </c>
      <c r="W35" s="59">
        <v>1.7029999999999994</v>
      </c>
      <c r="X35" s="59">
        <v>2.6789999999999985</v>
      </c>
      <c r="Y35" s="59">
        <v>24.802</v>
      </c>
      <c r="Z35" s="16"/>
      <c r="AA35" s="59">
        <v>33</v>
      </c>
      <c r="AB35" s="63">
        <v>-8.1999999999999993</v>
      </c>
      <c r="AC35" s="31"/>
      <c r="AD35" s="59">
        <v>20.350000000000001</v>
      </c>
      <c r="AE35" s="63">
        <v>4.45</v>
      </c>
    </row>
    <row r="36" spans="1:33" ht="18" hidden="1" customHeight="1" outlineLevel="1" x14ac:dyDescent="0.2">
      <c r="A36" s="46" t="s">
        <v>301</v>
      </c>
      <c r="B36" s="46" t="s">
        <v>304</v>
      </c>
      <c r="C36" s="47">
        <v>0</v>
      </c>
      <c r="D36" s="47">
        <v>0</v>
      </c>
      <c r="E36" s="31"/>
      <c r="F36" s="94" t="s">
        <v>347</v>
      </c>
      <c r="G36" s="16"/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  <c r="Q36" s="59">
        <v>0</v>
      </c>
      <c r="R36" s="59">
        <v>0</v>
      </c>
      <c r="S36" s="59">
        <v>0</v>
      </c>
      <c r="T36" s="59">
        <v>0</v>
      </c>
      <c r="U36" s="59">
        <v>0</v>
      </c>
      <c r="V36" s="59">
        <v>0</v>
      </c>
      <c r="W36" s="59">
        <v>0</v>
      </c>
      <c r="X36" s="59">
        <v>0</v>
      </c>
      <c r="Y36" s="59">
        <v>0</v>
      </c>
      <c r="Z36" s="16"/>
      <c r="AA36" s="59">
        <v>0</v>
      </c>
      <c r="AB36" s="63">
        <v>0</v>
      </c>
      <c r="AC36" s="31"/>
      <c r="AD36" s="59">
        <v>0</v>
      </c>
      <c r="AE36" s="63">
        <v>0</v>
      </c>
    </row>
    <row r="37" spans="1:33" ht="18" customHeight="1" collapsed="1" x14ac:dyDescent="0.2">
      <c r="A37" s="32"/>
      <c r="B37" s="32"/>
      <c r="C37" s="4">
        <v>-0.24848484848484848</v>
      </c>
      <c r="D37" s="4">
        <v>0.21867321867321868</v>
      </c>
      <c r="F37" s="213" t="s">
        <v>436</v>
      </c>
      <c r="G37" s="16"/>
      <c r="H37" s="61">
        <v>32.295000000000002</v>
      </c>
      <c r="I37" s="61">
        <v>33.912999999999997</v>
      </c>
      <c r="J37" s="61">
        <v>33.912999999999997</v>
      </c>
      <c r="K37" s="86">
        <v>33</v>
      </c>
      <c r="L37" s="86">
        <v>20.350000000000001</v>
      </c>
      <c r="M37" s="61">
        <v>1.319</v>
      </c>
      <c r="N37" s="61">
        <v>0</v>
      </c>
      <c r="O37" s="61">
        <v>0</v>
      </c>
      <c r="P37" s="61">
        <v>0</v>
      </c>
      <c r="Q37" s="61">
        <v>5.0990000000000002</v>
      </c>
      <c r="R37" s="61">
        <v>0.91199999999999992</v>
      </c>
      <c r="S37" s="61">
        <v>1.9420000000000002</v>
      </c>
      <c r="T37" s="61">
        <v>3.536999999999999</v>
      </c>
      <c r="U37" s="61">
        <v>3.2530000000000019</v>
      </c>
      <c r="V37" s="61">
        <v>4.3580000000000005</v>
      </c>
      <c r="W37" s="61">
        <v>1.7029999999999994</v>
      </c>
      <c r="X37" s="61">
        <v>2.6789999999999985</v>
      </c>
      <c r="Y37" s="61">
        <v>24.802</v>
      </c>
      <c r="Z37" s="16"/>
      <c r="AA37" s="61">
        <v>33</v>
      </c>
      <c r="AB37" s="60">
        <v>-8.1999999999999993</v>
      </c>
      <c r="AC37" s="34"/>
      <c r="AD37" s="61">
        <v>20.350000000000001</v>
      </c>
      <c r="AE37" s="60">
        <v>4.45</v>
      </c>
      <c r="AG37" s="48"/>
    </row>
    <row r="38" spans="1:33" ht="18" hidden="1" customHeight="1" outlineLevel="1" x14ac:dyDescent="0.2">
      <c r="A38" s="46" t="s">
        <v>300</v>
      </c>
      <c r="B38" s="46" t="s">
        <v>17</v>
      </c>
      <c r="C38" s="47">
        <v>1</v>
      </c>
      <c r="D38" s="47">
        <v>1</v>
      </c>
      <c r="E38" s="31"/>
      <c r="F38" s="217" t="s">
        <v>437</v>
      </c>
      <c r="G38" s="16"/>
      <c r="H38" s="59">
        <v>0</v>
      </c>
      <c r="I38" s="59">
        <v>0</v>
      </c>
      <c r="J38" s="59">
        <v>0</v>
      </c>
      <c r="K38" s="59">
        <v>0</v>
      </c>
      <c r="L38" s="59">
        <v>0</v>
      </c>
      <c r="M38" s="59">
        <v>0.39</v>
      </c>
      <c r="N38" s="59">
        <v>0</v>
      </c>
      <c r="O38" s="59">
        <v>0</v>
      </c>
      <c r="P38" s="59">
        <v>0</v>
      </c>
      <c r="Q38" s="59">
        <v>0</v>
      </c>
      <c r="R38" s="59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0.39</v>
      </c>
      <c r="Z38" s="16"/>
      <c r="AA38" s="59">
        <v>0</v>
      </c>
      <c r="AB38" s="63">
        <v>0.39</v>
      </c>
      <c r="AC38" s="31"/>
      <c r="AD38" s="59">
        <v>0</v>
      </c>
      <c r="AE38" s="63">
        <v>0.39</v>
      </c>
    </row>
    <row r="39" spans="1:33" ht="18" hidden="1" customHeight="1" outlineLevel="1" x14ac:dyDescent="0.2">
      <c r="A39" s="46" t="s">
        <v>301</v>
      </c>
      <c r="B39" s="46" t="s">
        <v>302</v>
      </c>
      <c r="C39" s="47">
        <v>0</v>
      </c>
      <c r="D39" s="47">
        <v>0</v>
      </c>
      <c r="E39" s="31"/>
      <c r="F39" s="217" t="s">
        <v>438</v>
      </c>
      <c r="G39" s="16"/>
      <c r="H39" s="59">
        <v>0</v>
      </c>
      <c r="I39" s="59">
        <v>0</v>
      </c>
      <c r="J39" s="59">
        <v>0</v>
      </c>
      <c r="K39" s="59">
        <v>0</v>
      </c>
      <c r="L39" s="59">
        <v>0</v>
      </c>
      <c r="M39" s="59">
        <v>0</v>
      </c>
      <c r="N39" s="59">
        <v>0</v>
      </c>
      <c r="O39" s="59">
        <v>0</v>
      </c>
      <c r="P39" s="59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0</v>
      </c>
      <c r="X39" s="59">
        <v>0</v>
      </c>
      <c r="Y39" s="59">
        <v>0</v>
      </c>
      <c r="Z39" s="16"/>
      <c r="AA39" s="59">
        <v>0</v>
      </c>
      <c r="AB39" s="63">
        <v>0</v>
      </c>
      <c r="AC39" s="31"/>
      <c r="AD39" s="59">
        <v>0</v>
      </c>
      <c r="AE39" s="63">
        <v>0</v>
      </c>
    </row>
    <row r="40" spans="1:33" ht="18" customHeight="1" collapsed="1" x14ac:dyDescent="0.2">
      <c r="A40" s="32"/>
      <c r="B40" s="32"/>
      <c r="C40" s="4">
        <v>1</v>
      </c>
      <c r="D40" s="4">
        <v>1</v>
      </c>
      <c r="F40" s="213" t="s">
        <v>439</v>
      </c>
      <c r="G40" s="16"/>
      <c r="H40" s="61">
        <v>0</v>
      </c>
      <c r="I40" s="61">
        <v>0</v>
      </c>
      <c r="J40" s="61">
        <v>0</v>
      </c>
      <c r="K40" s="86">
        <v>0</v>
      </c>
      <c r="L40" s="86">
        <v>0</v>
      </c>
      <c r="M40" s="61">
        <v>0.39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0.39</v>
      </c>
      <c r="Z40" s="16"/>
      <c r="AA40" s="61">
        <v>0</v>
      </c>
      <c r="AB40" s="60">
        <v>0.39</v>
      </c>
      <c r="AC40" s="34"/>
      <c r="AD40" s="61">
        <v>0</v>
      </c>
      <c r="AE40" s="60">
        <v>0.39</v>
      </c>
      <c r="AG40" s="48"/>
    </row>
    <row r="41" spans="1:33" ht="18" hidden="1" customHeight="1" outlineLevel="1" x14ac:dyDescent="0.2">
      <c r="A41" s="46" t="s">
        <v>309</v>
      </c>
      <c r="B41" s="46" t="s">
        <v>17</v>
      </c>
      <c r="C41" s="47">
        <v>0</v>
      </c>
      <c r="D41" s="47">
        <v>0</v>
      </c>
      <c r="E41" s="31"/>
      <c r="F41" s="217" t="s">
        <v>440</v>
      </c>
      <c r="G41" s="16"/>
      <c r="H41" s="59">
        <v>0</v>
      </c>
      <c r="I41" s="59">
        <v>0</v>
      </c>
      <c r="J41" s="59">
        <v>0</v>
      </c>
      <c r="K41" s="59">
        <v>0</v>
      </c>
      <c r="L41" s="59">
        <v>0</v>
      </c>
      <c r="M41" s="59">
        <v>0</v>
      </c>
      <c r="N41" s="59">
        <v>0</v>
      </c>
      <c r="O41" s="59">
        <v>0</v>
      </c>
      <c r="P41" s="59">
        <v>0</v>
      </c>
      <c r="Q41" s="59">
        <v>0</v>
      </c>
      <c r="R41" s="59">
        <v>0</v>
      </c>
      <c r="S41" s="59">
        <v>0</v>
      </c>
      <c r="T41" s="59">
        <v>0</v>
      </c>
      <c r="U41" s="59">
        <v>0</v>
      </c>
      <c r="V41" s="59">
        <v>0</v>
      </c>
      <c r="W41" s="59">
        <v>0</v>
      </c>
      <c r="X41" s="59">
        <v>0</v>
      </c>
      <c r="Y41" s="59">
        <v>0</v>
      </c>
      <c r="Z41" s="16"/>
      <c r="AA41" s="59">
        <v>0</v>
      </c>
      <c r="AB41" s="63">
        <v>0</v>
      </c>
      <c r="AC41" s="31"/>
      <c r="AD41" s="59">
        <v>0</v>
      </c>
      <c r="AE41" s="63">
        <v>0</v>
      </c>
    </row>
    <row r="42" spans="1:33" ht="18" hidden="1" customHeight="1" outlineLevel="1" x14ac:dyDescent="0.2">
      <c r="A42" s="46" t="s">
        <v>301</v>
      </c>
      <c r="B42" s="46" t="s">
        <v>308</v>
      </c>
      <c r="C42" s="47">
        <v>0</v>
      </c>
      <c r="D42" s="47">
        <v>0</v>
      </c>
      <c r="E42" s="31"/>
      <c r="F42" s="217" t="s">
        <v>441</v>
      </c>
      <c r="G42" s="16"/>
      <c r="H42" s="59">
        <v>0</v>
      </c>
      <c r="I42" s="59">
        <v>0</v>
      </c>
      <c r="J42" s="59">
        <v>0</v>
      </c>
      <c r="K42" s="59">
        <v>0</v>
      </c>
      <c r="L42" s="59">
        <v>0</v>
      </c>
      <c r="M42" s="59">
        <v>0</v>
      </c>
      <c r="N42" s="59">
        <v>0</v>
      </c>
      <c r="O42" s="59">
        <v>0</v>
      </c>
      <c r="P42" s="59">
        <v>0</v>
      </c>
      <c r="Q42" s="59">
        <v>0</v>
      </c>
      <c r="R42" s="59">
        <v>0</v>
      </c>
      <c r="S42" s="59">
        <v>0</v>
      </c>
      <c r="T42" s="59">
        <v>0</v>
      </c>
      <c r="U42" s="59">
        <v>0</v>
      </c>
      <c r="V42" s="59">
        <v>0</v>
      </c>
      <c r="W42" s="59">
        <v>0</v>
      </c>
      <c r="X42" s="59">
        <v>0</v>
      </c>
      <c r="Y42" s="59">
        <v>0</v>
      </c>
      <c r="Z42" s="16"/>
      <c r="AA42" s="59">
        <v>0</v>
      </c>
      <c r="AB42" s="63">
        <v>0</v>
      </c>
      <c r="AC42" s="31"/>
      <c r="AD42" s="59">
        <v>0</v>
      </c>
      <c r="AE42" s="63">
        <v>0</v>
      </c>
    </row>
    <row r="43" spans="1:33" ht="18" customHeight="1" collapsed="1" x14ac:dyDescent="0.2">
      <c r="A43" s="32"/>
      <c r="B43" s="32"/>
      <c r="C43" s="4">
        <v>0</v>
      </c>
      <c r="D43" s="4">
        <v>0</v>
      </c>
      <c r="F43" s="213" t="s">
        <v>442</v>
      </c>
      <c r="G43" s="16"/>
      <c r="H43" s="61">
        <v>0</v>
      </c>
      <c r="I43" s="61">
        <v>0</v>
      </c>
      <c r="J43" s="61">
        <v>0</v>
      </c>
      <c r="K43" s="86">
        <v>0</v>
      </c>
      <c r="L43" s="86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16"/>
      <c r="AA43" s="61">
        <v>0</v>
      </c>
      <c r="AB43" s="60">
        <v>0</v>
      </c>
      <c r="AC43" s="34"/>
      <c r="AD43" s="61">
        <v>0</v>
      </c>
      <c r="AE43" s="60">
        <v>0</v>
      </c>
      <c r="AG43" s="48"/>
    </row>
    <row r="44" spans="1:33" ht="18" hidden="1" customHeight="1" outlineLevel="1" x14ac:dyDescent="0.2">
      <c r="A44" s="212" t="s">
        <v>435</v>
      </c>
      <c r="B44" s="46" t="s">
        <v>17</v>
      </c>
      <c r="C44" s="47">
        <v>0</v>
      </c>
      <c r="D44" s="47">
        <v>0</v>
      </c>
      <c r="E44" s="31"/>
      <c r="F44" s="204" t="s">
        <v>433</v>
      </c>
      <c r="G44" s="16"/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  <c r="N44" s="59">
        <v>0</v>
      </c>
      <c r="O44" s="59">
        <v>0</v>
      </c>
      <c r="P44" s="59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16"/>
      <c r="AA44" s="59">
        <v>0</v>
      </c>
      <c r="AB44" s="63">
        <v>0</v>
      </c>
      <c r="AC44" s="31"/>
      <c r="AD44" s="59">
        <v>0</v>
      </c>
      <c r="AE44" s="63">
        <v>0</v>
      </c>
    </row>
    <row r="45" spans="1:33" ht="18" hidden="1" customHeight="1" outlineLevel="1" x14ac:dyDescent="0.2">
      <c r="A45" s="46" t="s">
        <v>301</v>
      </c>
      <c r="B45" s="212" t="s">
        <v>451</v>
      </c>
      <c r="C45" s="47">
        <v>0</v>
      </c>
      <c r="D45" s="47">
        <v>0</v>
      </c>
      <c r="E45" s="31"/>
      <c r="F45" s="204" t="s">
        <v>434</v>
      </c>
      <c r="G45" s="16"/>
      <c r="H45" s="59">
        <v>0</v>
      </c>
      <c r="I45" s="59">
        <v>0</v>
      </c>
      <c r="J45" s="59">
        <v>0</v>
      </c>
      <c r="K45" s="59">
        <v>0</v>
      </c>
      <c r="L45" s="59">
        <v>0</v>
      </c>
      <c r="M45" s="59">
        <v>0</v>
      </c>
      <c r="N45" s="59">
        <v>0</v>
      </c>
      <c r="O45" s="59">
        <v>0</v>
      </c>
      <c r="P45" s="59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16"/>
      <c r="AA45" s="59">
        <v>0</v>
      </c>
      <c r="AB45" s="63">
        <v>0</v>
      </c>
      <c r="AC45" s="31"/>
      <c r="AD45" s="59">
        <v>0</v>
      </c>
      <c r="AE45" s="63">
        <v>0</v>
      </c>
    </row>
    <row r="46" spans="1:33" ht="18" customHeight="1" collapsed="1" x14ac:dyDescent="0.2">
      <c r="A46" s="32"/>
      <c r="B46" s="32"/>
      <c r="C46" s="4">
        <v>0</v>
      </c>
      <c r="D46" s="4">
        <v>0</v>
      </c>
      <c r="F46" s="51" t="s">
        <v>432</v>
      </c>
      <c r="G46" s="16"/>
      <c r="H46" s="197">
        <v>0</v>
      </c>
      <c r="I46" s="197">
        <v>0</v>
      </c>
      <c r="J46" s="197">
        <v>0</v>
      </c>
      <c r="K46" s="86">
        <v>0</v>
      </c>
      <c r="L46" s="86">
        <v>0</v>
      </c>
      <c r="M46" s="197">
        <v>0</v>
      </c>
      <c r="N46" s="197">
        <v>0</v>
      </c>
      <c r="O46" s="197">
        <v>0</v>
      </c>
      <c r="P46" s="197">
        <v>0</v>
      </c>
      <c r="Q46" s="197">
        <v>0</v>
      </c>
      <c r="R46" s="197">
        <v>0</v>
      </c>
      <c r="S46" s="197">
        <v>0</v>
      </c>
      <c r="T46" s="197">
        <v>0</v>
      </c>
      <c r="U46" s="197">
        <v>0</v>
      </c>
      <c r="V46" s="197">
        <v>0</v>
      </c>
      <c r="W46" s="197">
        <v>0</v>
      </c>
      <c r="X46" s="197">
        <v>0</v>
      </c>
      <c r="Y46" s="197">
        <v>0</v>
      </c>
      <c r="Z46" s="16"/>
      <c r="AA46" s="197">
        <v>0</v>
      </c>
      <c r="AB46" s="60">
        <v>0</v>
      </c>
      <c r="AC46" s="34"/>
      <c r="AD46" s="197">
        <v>0</v>
      </c>
      <c r="AE46" s="60">
        <v>0</v>
      </c>
      <c r="AG46" s="48"/>
    </row>
    <row r="47" spans="1:33" ht="18" hidden="1" customHeight="1" outlineLevel="1" x14ac:dyDescent="0.2">
      <c r="A47" s="46" t="s">
        <v>306</v>
      </c>
      <c r="B47" s="46" t="s">
        <v>17</v>
      </c>
      <c r="C47" s="47">
        <v>0</v>
      </c>
      <c r="D47" s="47">
        <v>0</v>
      </c>
      <c r="E47" s="31"/>
      <c r="F47" s="94" t="s">
        <v>350</v>
      </c>
      <c r="G47" s="16"/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16"/>
      <c r="AA47" s="59">
        <v>0</v>
      </c>
      <c r="AB47" s="63">
        <v>0</v>
      </c>
      <c r="AC47" s="31"/>
      <c r="AD47" s="59">
        <v>0</v>
      </c>
      <c r="AE47" s="63">
        <v>0</v>
      </c>
    </row>
    <row r="48" spans="1:33" ht="18" hidden="1" customHeight="1" outlineLevel="1" x14ac:dyDescent="0.2">
      <c r="A48" s="46" t="s">
        <v>301</v>
      </c>
      <c r="B48" s="46" t="s">
        <v>307</v>
      </c>
      <c r="C48" s="47">
        <v>0</v>
      </c>
      <c r="D48" s="47">
        <v>0</v>
      </c>
      <c r="E48" s="31"/>
      <c r="F48" s="94" t="s">
        <v>351</v>
      </c>
      <c r="G48" s="16"/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16"/>
      <c r="AA48" s="59">
        <v>0</v>
      </c>
      <c r="AB48" s="63">
        <v>0</v>
      </c>
      <c r="AC48" s="31"/>
      <c r="AD48" s="59">
        <v>0</v>
      </c>
      <c r="AE48" s="63">
        <v>0</v>
      </c>
    </row>
    <row r="49" spans="1:33" ht="18" customHeight="1" collapsed="1" x14ac:dyDescent="0.2">
      <c r="A49" s="32"/>
      <c r="B49" s="32"/>
      <c r="C49" s="4">
        <v>0</v>
      </c>
      <c r="D49" s="4">
        <v>0</v>
      </c>
      <c r="F49" s="51" t="s">
        <v>325</v>
      </c>
      <c r="G49" s="16"/>
      <c r="H49" s="61">
        <v>0</v>
      </c>
      <c r="I49" s="61">
        <v>0</v>
      </c>
      <c r="J49" s="61">
        <v>0</v>
      </c>
      <c r="K49" s="86">
        <v>0</v>
      </c>
      <c r="L49" s="86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  <c r="R49" s="61">
        <v>0</v>
      </c>
      <c r="S49" s="61">
        <v>0</v>
      </c>
      <c r="T49" s="61">
        <v>0</v>
      </c>
      <c r="U49" s="61">
        <v>0</v>
      </c>
      <c r="V49" s="61">
        <v>0</v>
      </c>
      <c r="W49" s="61">
        <v>0</v>
      </c>
      <c r="X49" s="61">
        <v>0</v>
      </c>
      <c r="Y49" s="61">
        <v>0</v>
      </c>
      <c r="Z49" s="16"/>
      <c r="AA49" s="61">
        <v>0</v>
      </c>
      <c r="AB49" s="60">
        <v>0</v>
      </c>
      <c r="AC49" s="34"/>
      <c r="AD49" s="61">
        <v>0</v>
      </c>
      <c r="AE49" s="60">
        <v>0</v>
      </c>
      <c r="AG49" s="48"/>
    </row>
    <row r="50" spans="1:33" ht="18" hidden="1" customHeight="1" outlineLevel="1" x14ac:dyDescent="0.2">
      <c r="A50" s="46" t="s">
        <v>305</v>
      </c>
      <c r="B50" s="46" t="s">
        <v>17</v>
      </c>
      <c r="C50" s="47">
        <v>0</v>
      </c>
      <c r="D50" s="47">
        <v>0</v>
      </c>
      <c r="E50" s="31"/>
      <c r="F50" s="94" t="s">
        <v>353</v>
      </c>
      <c r="G50" s="16"/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0</v>
      </c>
      <c r="Z50" s="16"/>
      <c r="AA50" s="59">
        <v>0</v>
      </c>
      <c r="AB50" s="63">
        <v>0</v>
      </c>
      <c r="AC50" s="31"/>
      <c r="AD50" s="59">
        <v>0</v>
      </c>
      <c r="AE50" s="63">
        <v>0</v>
      </c>
    </row>
    <row r="51" spans="1:33" ht="18" hidden="1" customHeight="1" outlineLevel="1" x14ac:dyDescent="0.2">
      <c r="A51" s="46" t="s">
        <v>301</v>
      </c>
      <c r="B51" s="46" t="s">
        <v>352</v>
      </c>
      <c r="C51" s="47">
        <v>0</v>
      </c>
      <c r="D51" s="47">
        <v>0</v>
      </c>
      <c r="E51" s="31"/>
      <c r="F51" s="94" t="s">
        <v>354</v>
      </c>
      <c r="G51" s="16"/>
      <c r="H51" s="59">
        <v>0</v>
      </c>
      <c r="I51" s="59">
        <v>0</v>
      </c>
      <c r="J51" s="59">
        <v>0</v>
      </c>
      <c r="K51" s="59">
        <v>0</v>
      </c>
      <c r="L51" s="59">
        <v>0</v>
      </c>
      <c r="M51" s="59">
        <v>0</v>
      </c>
      <c r="N51" s="59">
        <v>0</v>
      </c>
      <c r="O51" s="59">
        <v>0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59">
        <v>0</v>
      </c>
      <c r="Y51" s="59">
        <v>0</v>
      </c>
      <c r="Z51" s="16"/>
      <c r="AA51" s="59">
        <v>0</v>
      </c>
      <c r="AB51" s="63">
        <v>0</v>
      </c>
      <c r="AC51" s="31"/>
      <c r="AD51" s="59">
        <v>0</v>
      </c>
      <c r="AE51" s="63">
        <v>0</v>
      </c>
    </row>
    <row r="52" spans="1:33" ht="18" hidden="1" customHeight="1" outlineLevel="1" x14ac:dyDescent="0.2">
      <c r="A52" s="46" t="s">
        <v>310</v>
      </c>
      <c r="B52" s="46" t="s">
        <v>334</v>
      </c>
      <c r="C52" s="47">
        <v>0</v>
      </c>
      <c r="D52" s="47">
        <v>0</v>
      </c>
      <c r="E52" s="31"/>
      <c r="F52" s="94" t="s">
        <v>355</v>
      </c>
      <c r="G52" s="16"/>
      <c r="H52" s="59">
        <v>0</v>
      </c>
      <c r="I52" s="59">
        <v>0</v>
      </c>
      <c r="J52" s="59">
        <v>0</v>
      </c>
      <c r="K52" s="59">
        <v>0</v>
      </c>
      <c r="L52" s="59">
        <v>0</v>
      </c>
      <c r="M52" s="59">
        <v>0</v>
      </c>
      <c r="N52" s="59">
        <v>0</v>
      </c>
      <c r="O52" s="59">
        <v>0</v>
      </c>
      <c r="P52" s="59">
        <v>0</v>
      </c>
      <c r="Q52" s="59">
        <v>0</v>
      </c>
      <c r="R52" s="59">
        <v>0</v>
      </c>
      <c r="S52" s="59">
        <v>0</v>
      </c>
      <c r="T52" s="59">
        <v>0</v>
      </c>
      <c r="U52" s="59">
        <v>0</v>
      </c>
      <c r="V52" s="59">
        <v>0</v>
      </c>
      <c r="W52" s="59">
        <v>0</v>
      </c>
      <c r="X52" s="59">
        <v>0</v>
      </c>
      <c r="Y52" s="59">
        <v>0</v>
      </c>
      <c r="Z52" s="16"/>
      <c r="AA52" s="59">
        <v>0</v>
      </c>
      <c r="AB52" s="60">
        <v>0</v>
      </c>
      <c r="AC52" s="31"/>
      <c r="AD52" s="59">
        <v>0</v>
      </c>
      <c r="AE52" s="60">
        <v>0</v>
      </c>
    </row>
    <row r="53" spans="1:33" ht="18" customHeight="1" collapsed="1" x14ac:dyDescent="0.2">
      <c r="A53" s="32"/>
      <c r="B53" s="32"/>
      <c r="C53" s="4">
        <v>0</v>
      </c>
      <c r="D53" s="4">
        <v>0</v>
      </c>
      <c r="F53" s="51" t="s">
        <v>363</v>
      </c>
      <c r="G53" s="16"/>
      <c r="H53" s="61">
        <v>0</v>
      </c>
      <c r="I53" s="61">
        <v>0</v>
      </c>
      <c r="J53" s="61">
        <v>0</v>
      </c>
      <c r="K53" s="86">
        <v>0</v>
      </c>
      <c r="L53" s="86">
        <v>0</v>
      </c>
      <c r="M53" s="61">
        <v>0</v>
      </c>
      <c r="N53" s="61">
        <v>0</v>
      </c>
      <c r="O53" s="61">
        <v>0</v>
      </c>
      <c r="P53" s="61">
        <v>0</v>
      </c>
      <c r="Q53" s="61">
        <v>0</v>
      </c>
      <c r="R53" s="61">
        <v>0</v>
      </c>
      <c r="S53" s="61">
        <v>0</v>
      </c>
      <c r="T53" s="61">
        <v>0</v>
      </c>
      <c r="U53" s="61">
        <v>0</v>
      </c>
      <c r="V53" s="61">
        <v>0</v>
      </c>
      <c r="W53" s="61">
        <v>0</v>
      </c>
      <c r="X53" s="61">
        <v>0</v>
      </c>
      <c r="Y53" s="61">
        <v>0</v>
      </c>
      <c r="Z53" s="16"/>
      <c r="AA53" s="61">
        <v>0</v>
      </c>
      <c r="AB53" s="60">
        <v>0</v>
      </c>
      <c r="AC53" s="34"/>
      <c r="AD53" s="61">
        <v>0</v>
      </c>
      <c r="AE53" s="60">
        <v>0</v>
      </c>
      <c r="AG53" s="48"/>
    </row>
    <row r="54" spans="1:33" ht="18" customHeight="1" x14ac:dyDescent="0.2">
      <c r="A54" s="30" t="s">
        <v>311</v>
      </c>
      <c r="B54" s="30" t="s">
        <v>17</v>
      </c>
      <c r="C54" s="4">
        <v>0</v>
      </c>
      <c r="D54" s="4">
        <v>0</v>
      </c>
      <c r="F54" s="51" t="s">
        <v>374</v>
      </c>
      <c r="G54" s="16"/>
      <c r="H54" s="61">
        <v>0</v>
      </c>
      <c r="I54" s="61">
        <v>0</v>
      </c>
      <c r="J54" s="61">
        <v>0</v>
      </c>
      <c r="K54" s="86">
        <v>0</v>
      </c>
      <c r="L54" s="86">
        <v>0</v>
      </c>
      <c r="M54" s="61">
        <v>0</v>
      </c>
      <c r="N54" s="61">
        <v>0</v>
      </c>
      <c r="O54" s="61">
        <v>0</v>
      </c>
      <c r="P54" s="61">
        <v>0</v>
      </c>
      <c r="Q54" s="61">
        <v>0</v>
      </c>
      <c r="R54" s="61">
        <v>0</v>
      </c>
      <c r="S54" s="61">
        <v>0</v>
      </c>
      <c r="T54" s="61">
        <v>0</v>
      </c>
      <c r="U54" s="61">
        <v>0</v>
      </c>
      <c r="V54" s="61">
        <v>0</v>
      </c>
      <c r="W54" s="61">
        <v>0</v>
      </c>
      <c r="X54" s="61">
        <v>0</v>
      </c>
      <c r="Y54" s="61">
        <v>0</v>
      </c>
      <c r="Z54" s="16"/>
      <c r="AA54" s="61">
        <v>0</v>
      </c>
      <c r="AB54" s="60">
        <v>0</v>
      </c>
      <c r="AD54" s="61">
        <v>0</v>
      </c>
      <c r="AE54" s="60">
        <v>0</v>
      </c>
    </row>
    <row r="55" spans="1:33" ht="18" customHeight="1" x14ac:dyDescent="0.2">
      <c r="A55" s="32"/>
      <c r="B55" s="32"/>
      <c r="C55" s="5">
        <v>-0.23666666666666666</v>
      </c>
      <c r="D55" s="5">
        <v>0.23783783783783782</v>
      </c>
      <c r="F55" s="118" t="s">
        <v>375</v>
      </c>
      <c r="G55" s="16"/>
      <c r="H55" s="120">
        <v>32.295000000000002</v>
      </c>
      <c r="I55" s="120">
        <v>33.912999999999997</v>
      </c>
      <c r="J55" s="120">
        <v>33.912999999999997</v>
      </c>
      <c r="K55" s="121">
        <v>33</v>
      </c>
      <c r="L55" s="121">
        <v>20.350000000000001</v>
      </c>
      <c r="M55" s="120">
        <v>1.7090000000000001</v>
      </c>
      <c r="N55" s="120">
        <v>0</v>
      </c>
      <c r="O55" s="120">
        <v>0</v>
      </c>
      <c r="P55" s="120">
        <v>0</v>
      </c>
      <c r="Q55" s="120">
        <v>5.0990000000000002</v>
      </c>
      <c r="R55" s="120">
        <v>0.91199999999999992</v>
      </c>
      <c r="S55" s="120">
        <v>1.9420000000000002</v>
      </c>
      <c r="T55" s="120">
        <v>3.536999999999999</v>
      </c>
      <c r="U55" s="120">
        <v>3.2530000000000019</v>
      </c>
      <c r="V55" s="120">
        <v>4.3580000000000005</v>
      </c>
      <c r="W55" s="120">
        <v>1.7029999999999994</v>
      </c>
      <c r="X55" s="120">
        <v>2.6789999999999985</v>
      </c>
      <c r="Y55" s="120">
        <v>25.192</v>
      </c>
      <c r="Z55" s="16"/>
      <c r="AA55" s="120">
        <v>33</v>
      </c>
      <c r="AB55" s="60">
        <v>-7.81</v>
      </c>
      <c r="AC55" s="7"/>
      <c r="AD55" s="120">
        <v>20.350000000000001</v>
      </c>
      <c r="AE55" s="60">
        <v>4.84</v>
      </c>
    </row>
    <row r="56" spans="1:33" ht="8.25" customHeight="1" x14ac:dyDescent="0.2">
      <c r="A56" s="116"/>
      <c r="F56" s="8"/>
      <c r="G56" s="16"/>
      <c r="K56" s="8"/>
      <c r="L56" s="8"/>
      <c r="Z56" s="16"/>
      <c r="AB56" s="8"/>
      <c r="AE56" s="8"/>
    </row>
    <row r="57" spans="1:33" ht="18" customHeight="1" x14ac:dyDescent="0.2">
      <c r="A57" s="30" t="s">
        <v>313</v>
      </c>
      <c r="B57" s="30" t="s">
        <v>17</v>
      </c>
      <c r="C57" s="4">
        <v>0</v>
      </c>
      <c r="D57" s="4">
        <v>0</v>
      </c>
      <c r="F57" s="51" t="s">
        <v>312</v>
      </c>
      <c r="G57" s="16"/>
      <c r="H57" s="61">
        <v>0.71199999999999997</v>
      </c>
      <c r="I57" s="61">
        <v>0.63600000000000001</v>
      </c>
      <c r="J57" s="61">
        <v>0.63600000000000001</v>
      </c>
      <c r="K57" s="86">
        <v>0</v>
      </c>
      <c r="L57" s="86">
        <v>0</v>
      </c>
      <c r="M57" s="61">
        <v>0</v>
      </c>
      <c r="N57" s="61">
        <v>0</v>
      </c>
      <c r="O57" s="61">
        <v>0</v>
      </c>
      <c r="P57" s="61">
        <v>0</v>
      </c>
      <c r="Q57" s="61">
        <v>0</v>
      </c>
      <c r="R57" s="61">
        <v>0</v>
      </c>
      <c r="S57" s="61">
        <v>0</v>
      </c>
      <c r="T57" s="61">
        <v>0</v>
      </c>
      <c r="U57" s="61">
        <v>0</v>
      </c>
      <c r="V57" s="61">
        <v>0</v>
      </c>
      <c r="W57" s="61">
        <v>0</v>
      </c>
      <c r="X57" s="61">
        <v>0</v>
      </c>
      <c r="Y57" s="61">
        <v>0</v>
      </c>
      <c r="Z57" s="16"/>
      <c r="AA57" s="61">
        <v>0</v>
      </c>
      <c r="AB57" s="60">
        <v>0</v>
      </c>
      <c r="AD57" s="61">
        <v>0</v>
      </c>
      <c r="AE57" s="60">
        <v>0</v>
      </c>
    </row>
    <row r="58" spans="1:33" ht="8.25" customHeight="1" x14ac:dyDescent="0.2">
      <c r="A58" s="116"/>
      <c r="F58" s="8"/>
      <c r="G58" s="16"/>
      <c r="K58" s="8"/>
      <c r="L58" s="8"/>
      <c r="Z58" s="16"/>
      <c r="AB58" s="8"/>
      <c r="AE58" s="8"/>
    </row>
    <row r="59" spans="1:33" s="7" customFormat="1" ht="18" customHeight="1" x14ac:dyDescent="0.2">
      <c r="A59" s="30" t="s">
        <v>299</v>
      </c>
      <c r="B59" s="30" t="s">
        <v>17</v>
      </c>
      <c r="C59" s="4">
        <v>-0.32939999999999997</v>
      </c>
      <c r="D59" s="4">
        <v>7.0049465453965204E-2</v>
      </c>
      <c r="E59" s="8"/>
      <c r="F59" s="45" t="s">
        <v>376</v>
      </c>
      <c r="G59" s="16"/>
      <c r="H59" s="62">
        <v>458.34899999999999</v>
      </c>
      <c r="I59" s="62">
        <v>411.52699999999999</v>
      </c>
      <c r="J59" s="62">
        <v>411.52699999999999</v>
      </c>
      <c r="K59" s="108">
        <v>500</v>
      </c>
      <c r="L59" s="108">
        <v>313.35000000000002</v>
      </c>
      <c r="M59" s="62">
        <v>19.234999999999999</v>
      </c>
      <c r="N59" s="62">
        <v>31.496000000000002</v>
      </c>
      <c r="O59" s="62">
        <v>24.550999999999995</v>
      </c>
      <c r="P59" s="62">
        <v>20.573000000000008</v>
      </c>
      <c r="Q59" s="62">
        <v>30.231999999999999</v>
      </c>
      <c r="R59" s="62">
        <v>33.132999999999996</v>
      </c>
      <c r="S59" s="62">
        <v>22.376000000000005</v>
      </c>
      <c r="T59" s="62">
        <v>20.478999999999985</v>
      </c>
      <c r="U59" s="62">
        <v>23.969000000000023</v>
      </c>
      <c r="V59" s="62">
        <v>27.138999999999982</v>
      </c>
      <c r="W59" s="62">
        <v>34.062999999999988</v>
      </c>
      <c r="X59" s="62">
        <v>48.057999999999993</v>
      </c>
      <c r="Y59" s="62">
        <v>335.30399999999997</v>
      </c>
      <c r="Z59" s="16"/>
      <c r="AA59" s="62">
        <v>500</v>
      </c>
      <c r="AB59" s="60">
        <v>-164.7</v>
      </c>
      <c r="AD59" s="62">
        <v>313.35000000000002</v>
      </c>
      <c r="AE59" s="60">
        <v>21.95</v>
      </c>
    </row>
    <row r="60" spans="1:33" ht="8.25" customHeight="1" x14ac:dyDescent="0.2">
      <c r="A60" s="116"/>
      <c r="F60" s="8"/>
      <c r="G60" s="16"/>
      <c r="K60" s="8"/>
      <c r="L60" s="8"/>
      <c r="Z60" s="16"/>
      <c r="AB60" s="8"/>
      <c r="AE60" s="8"/>
    </row>
    <row r="61" spans="1:33" ht="18" customHeight="1" x14ac:dyDescent="0.2">
      <c r="A61" s="35"/>
      <c r="B61" s="32"/>
      <c r="C61" s="4">
        <v>4.0992304846915573E-2</v>
      </c>
      <c r="D61" s="4">
        <v>1.1775746872914465E-2</v>
      </c>
      <c r="F61" s="95" t="s">
        <v>234</v>
      </c>
      <c r="G61" s="16"/>
      <c r="H61" s="64">
        <v>4635.8150000000005</v>
      </c>
      <c r="I61" s="64">
        <v>4623.1009999999997</v>
      </c>
      <c r="J61" s="64">
        <v>4623.1009999999997</v>
      </c>
      <c r="K61" s="89">
        <v>4947.2700000000004</v>
      </c>
      <c r="L61" s="89">
        <v>5090.1230000000005</v>
      </c>
      <c r="M61" s="64">
        <v>368.14500000000004</v>
      </c>
      <c r="N61" s="64">
        <v>394.74099999999993</v>
      </c>
      <c r="O61" s="64">
        <v>412.98699999999991</v>
      </c>
      <c r="P61" s="64">
        <v>428.01600000000019</v>
      </c>
      <c r="Q61" s="64">
        <v>455.58999999999992</v>
      </c>
      <c r="R61" s="64">
        <v>431.9099999999998</v>
      </c>
      <c r="S61" s="64">
        <v>423.52299999999991</v>
      </c>
      <c r="T61" s="64">
        <v>450.65000000000026</v>
      </c>
      <c r="U61" s="64">
        <v>420.20800000000008</v>
      </c>
      <c r="V61" s="64">
        <v>442.02300000000002</v>
      </c>
      <c r="W61" s="64">
        <v>458.2909999999996</v>
      </c>
      <c r="X61" s="64">
        <v>463.98199999999997</v>
      </c>
      <c r="Y61" s="64">
        <v>5150.0659999999998</v>
      </c>
      <c r="Z61" s="16"/>
      <c r="AA61" s="64">
        <v>4947.2700000000004</v>
      </c>
      <c r="AB61" s="60">
        <v>202.8</v>
      </c>
      <c r="AD61" s="64">
        <v>5090.1230000000005</v>
      </c>
      <c r="AE61" s="60">
        <v>59.94</v>
      </c>
    </row>
    <row r="62" spans="1:33" ht="6.95" customHeight="1" x14ac:dyDescent="0.2">
      <c r="C62" s="4"/>
      <c r="D62" s="4"/>
      <c r="F62" s="96"/>
      <c r="G62" s="16"/>
      <c r="H62" s="16"/>
      <c r="I62" s="16"/>
      <c r="J62" s="16"/>
      <c r="K62" s="85"/>
      <c r="L62" s="85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20"/>
      <c r="AD62" s="16"/>
      <c r="AE62" s="20"/>
    </row>
    <row r="63" spans="1:33" s="36" customFormat="1" ht="18" customHeight="1" x14ac:dyDescent="0.2">
      <c r="A63" s="30" t="s">
        <v>21</v>
      </c>
      <c r="B63" s="30" t="s">
        <v>17</v>
      </c>
      <c r="C63" s="4">
        <v>-0.9999363705777552</v>
      </c>
      <c r="D63" s="4">
        <v>-1.3870967741935483E-2</v>
      </c>
      <c r="E63" s="8"/>
      <c r="F63" s="104" t="s">
        <v>24</v>
      </c>
      <c r="G63" s="16"/>
      <c r="H63" s="65">
        <v>-42.459000000000003</v>
      </c>
      <c r="I63" s="65">
        <v>-51.74</v>
      </c>
      <c r="J63" s="65">
        <v>-51.74</v>
      </c>
      <c r="K63" s="65">
        <v>0</v>
      </c>
      <c r="L63" s="65">
        <v>-62</v>
      </c>
      <c r="M63" s="65">
        <v>-25.827999999999999</v>
      </c>
      <c r="N63" s="65">
        <v>-27.516999999999999</v>
      </c>
      <c r="O63" s="65">
        <v>-14.483999999999995</v>
      </c>
      <c r="P63" s="65">
        <v>8.7789999999999964</v>
      </c>
      <c r="Q63" s="65">
        <v>-7.3400000000000034</v>
      </c>
      <c r="R63" s="65">
        <v>0.6039999999999992</v>
      </c>
      <c r="S63" s="65">
        <v>-3.9740000000000038</v>
      </c>
      <c r="T63" s="65">
        <v>-42.879999999999995</v>
      </c>
      <c r="U63" s="65">
        <v>-5.6099999999999994</v>
      </c>
      <c r="V63" s="65">
        <v>23.638000000000005</v>
      </c>
      <c r="W63" s="65">
        <v>13.056999999999988</v>
      </c>
      <c r="X63" s="65">
        <v>18.69100000000001</v>
      </c>
      <c r="Y63" s="65">
        <v>-62.863999999999997</v>
      </c>
      <c r="AA63" s="65">
        <v>0</v>
      </c>
      <c r="AB63" s="60">
        <v>-62.86</v>
      </c>
      <c r="AD63" s="65">
        <v>-62</v>
      </c>
      <c r="AE63" s="60">
        <v>-0.86</v>
      </c>
    </row>
    <row r="64" spans="1:33" s="36" customFormat="1" ht="18" hidden="1" customHeight="1" outlineLevel="1" x14ac:dyDescent="0.2">
      <c r="A64" s="30" t="s">
        <v>119</v>
      </c>
      <c r="B64" s="30" t="s">
        <v>17</v>
      </c>
      <c r="C64" s="4">
        <v>0.35399999999999998</v>
      </c>
      <c r="D64" s="4">
        <v>9.5238095238095247E-2</v>
      </c>
      <c r="E64" s="8"/>
      <c r="F64" s="38" t="s">
        <v>121</v>
      </c>
      <c r="G64" s="16"/>
      <c r="H64" s="66">
        <v>2.653</v>
      </c>
      <c r="I64" s="66">
        <v>-1.59</v>
      </c>
      <c r="J64" s="66">
        <v>-1.59</v>
      </c>
      <c r="K64" s="66">
        <v>-5</v>
      </c>
      <c r="L64" s="66">
        <v>-3.57</v>
      </c>
      <c r="M64" s="66">
        <v>0.34</v>
      </c>
      <c r="N64" s="66">
        <v>-0.34</v>
      </c>
      <c r="O64" s="66">
        <v>2.2999999999999998</v>
      </c>
      <c r="P64" s="66">
        <v>0</v>
      </c>
      <c r="Q64" s="66">
        <v>-4.5999999999999996</v>
      </c>
      <c r="R64" s="66">
        <v>-1.4000000000000004</v>
      </c>
      <c r="S64" s="66">
        <v>0</v>
      </c>
      <c r="T64" s="66">
        <v>0.4700000000000002</v>
      </c>
      <c r="U64" s="66">
        <v>-0.33999999999999986</v>
      </c>
      <c r="V64" s="66">
        <v>0</v>
      </c>
      <c r="W64" s="66">
        <v>0.33999999999999986</v>
      </c>
      <c r="X64" s="66">
        <v>0</v>
      </c>
      <c r="Y64" s="66">
        <v>-3.23</v>
      </c>
      <c r="Z64" s="34"/>
      <c r="AA64" s="66">
        <v>-5</v>
      </c>
      <c r="AB64" s="60">
        <v>1.77</v>
      </c>
      <c r="AC64" s="34"/>
      <c r="AD64" s="66">
        <v>-3.57</v>
      </c>
      <c r="AE64" s="60">
        <v>0.34</v>
      </c>
    </row>
    <row r="65" spans="1:31" s="36" customFormat="1" ht="18" hidden="1" customHeight="1" outlineLevel="1" x14ac:dyDescent="0.2">
      <c r="A65" s="30" t="s">
        <v>120</v>
      </c>
      <c r="B65" s="30" t="s">
        <v>17</v>
      </c>
      <c r="C65" s="4">
        <v>0.9998682071783157</v>
      </c>
      <c r="D65" s="4">
        <v>-6.1135371179039319E-3</v>
      </c>
      <c r="E65" s="8"/>
      <c r="F65" s="38" t="s">
        <v>122</v>
      </c>
      <c r="G65" s="16"/>
      <c r="H65" s="66">
        <v>-2.4420000000000002</v>
      </c>
      <c r="I65" s="66">
        <v>24.007000000000001</v>
      </c>
      <c r="J65" s="66">
        <v>24.007000000000001</v>
      </c>
      <c r="K65" s="66">
        <v>0</v>
      </c>
      <c r="L65" s="66">
        <v>22.9</v>
      </c>
      <c r="M65" s="66">
        <v>3.4470000000000001</v>
      </c>
      <c r="N65" s="66">
        <v>-0.21799999999999997</v>
      </c>
      <c r="O65" s="66">
        <v>0.21799999999999997</v>
      </c>
      <c r="P65" s="66">
        <v>0</v>
      </c>
      <c r="Q65" s="66">
        <v>19.959</v>
      </c>
      <c r="R65" s="66">
        <v>0</v>
      </c>
      <c r="S65" s="66">
        <v>-0.14299999999999713</v>
      </c>
      <c r="T65" s="66">
        <v>0</v>
      </c>
      <c r="U65" s="66">
        <v>-0.91300000000000026</v>
      </c>
      <c r="V65" s="66">
        <v>0.41300000000000026</v>
      </c>
      <c r="W65" s="66">
        <v>1.2069999999999972</v>
      </c>
      <c r="X65" s="66">
        <v>-1.2069999999999972</v>
      </c>
      <c r="Y65" s="66">
        <v>22.763000000000002</v>
      </c>
      <c r="Z65" s="34"/>
      <c r="AA65" s="66">
        <v>0</v>
      </c>
      <c r="AB65" s="60">
        <v>22.76</v>
      </c>
      <c r="AC65" s="34"/>
      <c r="AD65" s="66">
        <v>22.899999999999995</v>
      </c>
      <c r="AE65" s="60">
        <v>-0.14000000000000001</v>
      </c>
    </row>
    <row r="66" spans="1:31" s="36" customFormat="1" ht="18" customHeight="1" collapsed="1" x14ac:dyDescent="0.2">
      <c r="A66" s="35"/>
      <c r="B66" s="35"/>
      <c r="C66" s="4">
        <v>4.9060000000000006</v>
      </c>
      <c r="D66" s="4">
        <v>1.0346611484738749E-2</v>
      </c>
      <c r="E66" s="8"/>
      <c r="F66" s="104" t="s">
        <v>0</v>
      </c>
      <c r="G66" s="16"/>
      <c r="H66" s="65">
        <v>0.21099999999999985</v>
      </c>
      <c r="I66" s="65">
        <v>22.417000000000002</v>
      </c>
      <c r="J66" s="65">
        <v>22.417000000000002</v>
      </c>
      <c r="K66" s="65">
        <v>-5</v>
      </c>
      <c r="L66" s="65">
        <v>19.329999999999998</v>
      </c>
      <c r="M66" s="65">
        <v>3.7869999999999999</v>
      </c>
      <c r="N66" s="65">
        <v>-0.55800000000000005</v>
      </c>
      <c r="O66" s="65">
        <v>2.5179999999999998</v>
      </c>
      <c r="P66" s="65">
        <v>0</v>
      </c>
      <c r="Q66" s="65">
        <v>15.359</v>
      </c>
      <c r="R66" s="65">
        <v>-1.4000000000000004</v>
      </c>
      <c r="S66" s="65">
        <v>-0.14299999999999713</v>
      </c>
      <c r="T66" s="65">
        <v>0.4700000000000002</v>
      </c>
      <c r="U66" s="65">
        <v>-1.2530000000000001</v>
      </c>
      <c r="V66" s="65">
        <v>0.41300000000000026</v>
      </c>
      <c r="W66" s="65">
        <v>1.546999999999997</v>
      </c>
      <c r="X66" s="65">
        <v>-1.2069999999999972</v>
      </c>
      <c r="Y66" s="65">
        <v>19.533000000000001</v>
      </c>
      <c r="AA66" s="65">
        <v>-5</v>
      </c>
      <c r="AB66" s="60">
        <v>24.53</v>
      </c>
      <c r="AD66" s="65">
        <v>19.329999999999998</v>
      </c>
      <c r="AE66" s="60">
        <v>0.2</v>
      </c>
    </row>
    <row r="67" spans="1:31" s="36" customFormat="1" ht="18" hidden="1" customHeight="1" outlineLevel="1" x14ac:dyDescent="0.2">
      <c r="A67" s="30" t="s">
        <v>131</v>
      </c>
      <c r="B67" s="30" t="s">
        <v>17</v>
      </c>
      <c r="C67" s="4">
        <v>0</v>
      </c>
      <c r="D67" s="4">
        <v>0</v>
      </c>
      <c r="E67" s="8"/>
      <c r="F67" s="38" t="s">
        <v>132</v>
      </c>
      <c r="G67" s="16"/>
      <c r="H67" s="66">
        <v>0</v>
      </c>
      <c r="I67" s="66">
        <v>0</v>
      </c>
      <c r="J67" s="66">
        <v>0</v>
      </c>
      <c r="K67" s="86">
        <v>0</v>
      </c>
      <c r="L67" s="8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34"/>
      <c r="AA67" s="66">
        <v>0</v>
      </c>
      <c r="AB67" s="60">
        <v>0</v>
      </c>
      <c r="AC67" s="34"/>
      <c r="AD67" s="66">
        <v>0</v>
      </c>
      <c r="AE67" s="60">
        <v>0</v>
      </c>
    </row>
    <row r="68" spans="1:31" s="36" customFormat="1" ht="18" hidden="1" customHeight="1" outlineLevel="1" x14ac:dyDescent="0.2">
      <c r="A68" s="30" t="s">
        <v>134</v>
      </c>
      <c r="B68" s="30" t="s">
        <v>17</v>
      </c>
      <c r="C68" s="4">
        <v>0</v>
      </c>
      <c r="D68" s="4">
        <v>0</v>
      </c>
      <c r="E68" s="8"/>
      <c r="F68" s="38" t="s">
        <v>133</v>
      </c>
      <c r="G68" s="16"/>
      <c r="H68" s="66">
        <v>0</v>
      </c>
      <c r="I68" s="66">
        <v>0</v>
      </c>
      <c r="J68" s="66">
        <v>0</v>
      </c>
      <c r="K68" s="86">
        <v>0</v>
      </c>
      <c r="L68" s="8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34"/>
      <c r="AA68" s="66">
        <v>0</v>
      </c>
      <c r="AB68" s="60">
        <v>0</v>
      </c>
      <c r="AC68" s="34"/>
      <c r="AD68" s="66">
        <v>0</v>
      </c>
      <c r="AE68" s="60">
        <v>0</v>
      </c>
    </row>
    <row r="69" spans="1:31" s="36" customFormat="1" ht="18" hidden="1" customHeight="1" outlineLevel="1" x14ac:dyDescent="0.2">
      <c r="A69" s="30" t="s">
        <v>135</v>
      </c>
      <c r="B69" s="30" t="s">
        <v>17</v>
      </c>
      <c r="C69" s="4">
        <v>0</v>
      </c>
      <c r="D69" s="4">
        <v>0</v>
      </c>
      <c r="E69" s="8"/>
      <c r="F69" s="38" t="s">
        <v>136</v>
      </c>
      <c r="G69" s="16"/>
      <c r="H69" s="66">
        <v>0</v>
      </c>
      <c r="I69" s="66">
        <v>0</v>
      </c>
      <c r="J69" s="66">
        <v>0</v>
      </c>
      <c r="K69" s="86">
        <v>0</v>
      </c>
      <c r="L69" s="8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34"/>
      <c r="AA69" s="66">
        <v>0</v>
      </c>
      <c r="AB69" s="60">
        <v>0</v>
      </c>
      <c r="AC69" s="34"/>
      <c r="AD69" s="66">
        <v>0</v>
      </c>
      <c r="AE69" s="60">
        <v>0</v>
      </c>
    </row>
    <row r="70" spans="1:31" s="36" customFormat="1" ht="18" hidden="1" customHeight="1" outlineLevel="1" x14ac:dyDescent="0.2">
      <c r="A70" s="30" t="s">
        <v>137</v>
      </c>
      <c r="B70" s="30" t="s">
        <v>17</v>
      </c>
      <c r="C70" s="4">
        <v>0</v>
      </c>
      <c r="D70" s="4">
        <v>0</v>
      </c>
      <c r="E70" s="8"/>
      <c r="F70" s="38" t="s">
        <v>138</v>
      </c>
      <c r="G70" s="16"/>
      <c r="H70" s="66">
        <v>0</v>
      </c>
      <c r="I70" s="66">
        <v>0</v>
      </c>
      <c r="J70" s="66">
        <v>0</v>
      </c>
      <c r="K70" s="86">
        <v>0</v>
      </c>
      <c r="L70" s="8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34"/>
      <c r="AA70" s="66">
        <v>0</v>
      </c>
      <c r="AB70" s="60">
        <v>0</v>
      </c>
      <c r="AC70" s="34"/>
      <c r="AD70" s="66">
        <v>0</v>
      </c>
      <c r="AE70" s="60">
        <v>0</v>
      </c>
    </row>
    <row r="71" spans="1:31" s="37" customFormat="1" ht="18" customHeight="1" collapsed="1" x14ac:dyDescent="0.2">
      <c r="A71" s="35"/>
      <c r="B71" s="35"/>
      <c r="C71" s="4">
        <v>0</v>
      </c>
      <c r="D71" s="4">
        <v>0</v>
      </c>
      <c r="E71" s="8"/>
      <c r="F71" s="105" t="s">
        <v>274</v>
      </c>
      <c r="G71" s="16"/>
      <c r="H71" s="67">
        <v>0</v>
      </c>
      <c r="I71" s="67">
        <v>0</v>
      </c>
      <c r="J71" s="67">
        <v>0</v>
      </c>
      <c r="K71" s="67">
        <v>0</v>
      </c>
      <c r="L71" s="67">
        <v>0</v>
      </c>
      <c r="M71" s="67">
        <v>0</v>
      </c>
      <c r="N71" s="67">
        <v>0</v>
      </c>
      <c r="O71" s="67">
        <v>0</v>
      </c>
      <c r="P71" s="67">
        <v>0</v>
      </c>
      <c r="Q71" s="67">
        <v>0</v>
      </c>
      <c r="R71" s="67">
        <v>0</v>
      </c>
      <c r="S71" s="67">
        <v>0</v>
      </c>
      <c r="T71" s="67">
        <v>0</v>
      </c>
      <c r="U71" s="67">
        <v>0</v>
      </c>
      <c r="V71" s="67">
        <v>0</v>
      </c>
      <c r="W71" s="67">
        <v>0</v>
      </c>
      <c r="X71" s="67">
        <v>0</v>
      </c>
      <c r="Y71" s="67">
        <v>0</v>
      </c>
      <c r="AA71" s="67">
        <v>0</v>
      </c>
      <c r="AB71" s="60">
        <v>0</v>
      </c>
      <c r="AD71" s="67">
        <v>0</v>
      </c>
      <c r="AE71" s="60">
        <v>0</v>
      </c>
    </row>
    <row r="72" spans="1:31" ht="6.95" customHeight="1" x14ac:dyDescent="0.2">
      <c r="C72" s="4"/>
      <c r="D72" s="4"/>
      <c r="F72" s="96"/>
      <c r="G72" s="16"/>
      <c r="H72" s="16"/>
      <c r="I72" s="16"/>
      <c r="J72" s="16"/>
      <c r="K72" s="85"/>
      <c r="L72" s="8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AA72" s="16"/>
      <c r="AB72" s="20"/>
      <c r="AD72" s="16"/>
      <c r="AE72" s="20"/>
    </row>
    <row r="73" spans="1:31" s="7" customFormat="1" ht="18" customHeight="1" x14ac:dyDescent="0.2">
      <c r="A73" s="276" t="s">
        <v>299</v>
      </c>
      <c r="B73" s="276" t="s">
        <v>17</v>
      </c>
      <c r="C73" s="252">
        <v>3.3278230448761395E-2</v>
      </c>
      <c r="D73" s="252">
        <v>1.1744537294354202E-2</v>
      </c>
      <c r="E73" s="253"/>
      <c r="F73" s="282" t="s">
        <v>448</v>
      </c>
      <c r="G73" s="16"/>
      <c r="H73" s="62">
        <v>4593.5670000000009</v>
      </c>
      <c r="I73" s="62">
        <v>4593.7780000000002</v>
      </c>
      <c r="J73" s="62">
        <v>4593.7780000000002</v>
      </c>
      <c r="K73" s="108">
        <v>4942.2700000000004</v>
      </c>
      <c r="L73" s="108">
        <v>5047.4530000000004</v>
      </c>
      <c r="M73" s="62">
        <v>346.10400000000004</v>
      </c>
      <c r="N73" s="62">
        <v>366.66599999999994</v>
      </c>
      <c r="O73" s="62">
        <v>401.0209999999999</v>
      </c>
      <c r="P73" s="62">
        <v>436.79500000000019</v>
      </c>
      <c r="Q73" s="62">
        <v>463.60899999999987</v>
      </c>
      <c r="R73" s="62">
        <v>431.11399999999981</v>
      </c>
      <c r="S73" s="62">
        <v>419.40599999999995</v>
      </c>
      <c r="T73" s="62">
        <v>408.24000000000029</v>
      </c>
      <c r="U73" s="62">
        <v>413.34500000000008</v>
      </c>
      <c r="V73" s="62">
        <v>466.07400000000007</v>
      </c>
      <c r="W73" s="62">
        <v>472.89499999999964</v>
      </c>
      <c r="X73" s="62">
        <v>481.46600000000001</v>
      </c>
      <c r="Y73" s="62">
        <v>5106.7350000000006</v>
      </c>
      <c r="Z73" s="16"/>
      <c r="AA73" s="62">
        <v>4942.2700000000004</v>
      </c>
      <c r="AB73" s="256">
        <v>164.47</v>
      </c>
      <c r="AD73" s="62">
        <v>5047.4530000000004</v>
      </c>
      <c r="AE73" s="256">
        <v>59.28</v>
      </c>
    </row>
    <row r="74" spans="1:31" s="253" customFormat="1" ht="8.25" customHeight="1" x14ac:dyDescent="0.2">
      <c r="A74" s="116"/>
      <c r="G74" s="16"/>
      <c r="Z74" s="16"/>
    </row>
    <row r="75" spans="1:31" ht="18" customHeight="1" x14ac:dyDescent="0.2">
      <c r="A75" s="30" t="s">
        <v>206</v>
      </c>
      <c r="B75" s="30" t="s">
        <v>38</v>
      </c>
      <c r="C75" s="4">
        <v>4.6516825883384266E-2</v>
      </c>
      <c r="D75" s="4">
        <v>1.8760016668932008E-2</v>
      </c>
      <c r="F75" s="106" t="s">
        <v>377</v>
      </c>
      <c r="H75" s="61">
        <v>-646.94000000000005</v>
      </c>
      <c r="I75" s="61">
        <v>-629.46699999999998</v>
      </c>
      <c r="J75" s="61">
        <v>-629.46699999999998</v>
      </c>
      <c r="K75" s="86">
        <v>-688.99800000000005</v>
      </c>
      <c r="L75" s="86">
        <v>-669.50900000000001</v>
      </c>
      <c r="M75" s="61">
        <v>-50.279000000000003</v>
      </c>
      <c r="N75" s="61">
        <v>-53.411999999999999</v>
      </c>
      <c r="O75" s="61">
        <v>-55.129999999999995</v>
      </c>
      <c r="P75" s="61">
        <v>-54.652000000000015</v>
      </c>
      <c r="Q75" s="61">
        <v>-46.175999999999988</v>
      </c>
      <c r="R75" s="61">
        <v>-66.216000000000008</v>
      </c>
      <c r="S75" s="61">
        <v>-41.093999999999994</v>
      </c>
      <c r="T75" s="61">
        <v>-44.257000000000005</v>
      </c>
      <c r="U75" s="61">
        <v>-57.997000000000014</v>
      </c>
      <c r="V75" s="61">
        <v>-70.579000000000008</v>
      </c>
      <c r="W75" s="61">
        <v>-61.631999999999948</v>
      </c>
      <c r="X75" s="61">
        <v>-55.523000000000025</v>
      </c>
      <c r="Y75" s="61">
        <v>-656.947</v>
      </c>
      <c r="AA75" s="61">
        <v>-688.99800000000005</v>
      </c>
      <c r="AB75" s="60">
        <v>32.049999999999997</v>
      </c>
      <c r="AD75" s="61">
        <v>-669.50900000000001</v>
      </c>
      <c r="AE75" s="60">
        <v>12.56</v>
      </c>
    </row>
    <row r="76" spans="1:31" ht="18" customHeight="1" x14ac:dyDescent="0.2">
      <c r="A76" s="30" t="s">
        <v>42</v>
      </c>
      <c r="B76" s="30" t="s">
        <v>17</v>
      </c>
      <c r="C76" s="4">
        <v>0</v>
      </c>
      <c r="D76" s="4">
        <v>0</v>
      </c>
      <c r="F76" s="106" t="s">
        <v>207</v>
      </c>
      <c r="H76" s="61">
        <v>0</v>
      </c>
      <c r="I76" s="61">
        <v>0</v>
      </c>
      <c r="J76" s="61">
        <v>0</v>
      </c>
      <c r="K76" s="86">
        <v>0</v>
      </c>
      <c r="L76" s="86">
        <v>0</v>
      </c>
      <c r="M76" s="61">
        <v>0</v>
      </c>
      <c r="N76" s="61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AA76" s="61">
        <v>0</v>
      </c>
      <c r="AB76" s="60">
        <v>0</v>
      </c>
      <c r="AD76" s="61">
        <v>0</v>
      </c>
      <c r="AE76" s="60">
        <v>0</v>
      </c>
    </row>
    <row r="77" spans="1:31" ht="18" customHeight="1" collapsed="1" x14ac:dyDescent="0.2">
      <c r="A77" s="35"/>
      <c r="B77" s="35"/>
      <c r="C77" s="4">
        <v>4.6516825883384266E-2</v>
      </c>
      <c r="D77" s="4">
        <v>1.8760016668932008E-2</v>
      </c>
      <c r="F77" s="45" t="s">
        <v>41</v>
      </c>
      <c r="H77" s="62">
        <v>-646.94000000000005</v>
      </c>
      <c r="I77" s="62">
        <v>-629.46699999999998</v>
      </c>
      <c r="J77" s="62">
        <v>-629.46699999999998</v>
      </c>
      <c r="K77" s="108">
        <v>-688.99800000000005</v>
      </c>
      <c r="L77" s="108">
        <v>-669.50900000000001</v>
      </c>
      <c r="M77" s="62">
        <v>-50.279000000000003</v>
      </c>
      <c r="N77" s="62">
        <v>-53.411999999999999</v>
      </c>
      <c r="O77" s="62">
        <v>-55.129999999999995</v>
      </c>
      <c r="P77" s="62">
        <v>-54.652000000000015</v>
      </c>
      <c r="Q77" s="62">
        <v>-46.175999999999988</v>
      </c>
      <c r="R77" s="62">
        <v>-66.216000000000008</v>
      </c>
      <c r="S77" s="62">
        <v>-41.093999999999994</v>
      </c>
      <c r="T77" s="62">
        <v>-44.257000000000005</v>
      </c>
      <c r="U77" s="62">
        <v>-57.997000000000014</v>
      </c>
      <c r="V77" s="62">
        <v>-70.579000000000008</v>
      </c>
      <c r="W77" s="62">
        <v>-61.631999999999948</v>
      </c>
      <c r="X77" s="62">
        <v>-55.523000000000025</v>
      </c>
      <c r="Y77" s="62">
        <v>-656.947</v>
      </c>
      <c r="AA77" s="62">
        <v>-688.99800000000005</v>
      </c>
      <c r="AB77" s="60">
        <v>32.049999999999997</v>
      </c>
      <c r="AD77" s="62">
        <v>-669.50900000000001</v>
      </c>
      <c r="AE77" s="60">
        <v>12.56</v>
      </c>
    </row>
    <row r="78" spans="1:31" ht="12.95" customHeight="1" x14ac:dyDescent="0.2">
      <c r="A78" s="35"/>
      <c r="B78" s="35"/>
      <c r="C78" s="4"/>
      <c r="D78" s="4"/>
      <c r="F78" s="39" t="s">
        <v>227</v>
      </c>
      <c r="H78" s="56">
        <v>0.15486421672851436</v>
      </c>
      <c r="I78" s="56">
        <v>0.14946122281123397</v>
      </c>
      <c r="J78" s="56">
        <v>0.14946122281123397</v>
      </c>
      <c r="K78" s="109">
        <v>0.15492605576005053</v>
      </c>
      <c r="L78" s="109">
        <v>0.14015926651737484</v>
      </c>
      <c r="M78" s="56">
        <v>0.14410306382734805</v>
      </c>
      <c r="N78" s="56">
        <v>0.14704125314870128</v>
      </c>
      <c r="O78" s="56">
        <v>0.14192814260264236</v>
      </c>
      <c r="P78" s="56">
        <v>0.13413409973910465</v>
      </c>
      <c r="Q78" s="56">
        <v>0.10855796764137501</v>
      </c>
      <c r="R78" s="56">
        <v>0.16604769081466592</v>
      </c>
      <c r="S78" s="56">
        <v>0.10244124971643809</v>
      </c>
      <c r="T78" s="56">
        <v>0.10288234213835891</v>
      </c>
      <c r="U78" s="56">
        <v>0.14636873200265507</v>
      </c>
      <c r="V78" s="56">
        <v>0.17011743041428445</v>
      </c>
      <c r="W78" s="56">
        <v>0.14528036810394399</v>
      </c>
      <c r="X78" s="56">
        <v>0.13349313816947331</v>
      </c>
      <c r="Y78" s="56">
        <v>0.13644433515093787</v>
      </c>
      <c r="AA78" s="56">
        <v>0.15492605576005058</v>
      </c>
      <c r="AB78" s="57"/>
      <c r="AD78" s="56">
        <v>0.14015926651737484</v>
      </c>
      <c r="AE78" s="57"/>
    </row>
    <row r="79" spans="1:31" ht="18" customHeight="1" x14ac:dyDescent="0.2">
      <c r="A79" s="30" t="s">
        <v>39</v>
      </c>
      <c r="B79" s="30" t="s">
        <v>17</v>
      </c>
      <c r="C79" s="4">
        <v>0</v>
      </c>
      <c r="D79" s="4">
        <v>0</v>
      </c>
      <c r="F79" s="45" t="s">
        <v>40</v>
      </c>
      <c r="H79" s="62">
        <v>0</v>
      </c>
      <c r="I79" s="62">
        <v>0</v>
      </c>
      <c r="J79" s="62">
        <v>0</v>
      </c>
      <c r="K79" s="108">
        <v>0</v>
      </c>
      <c r="L79" s="108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0</v>
      </c>
      <c r="V79" s="62">
        <v>0</v>
      </c>
      <c r="W79" s="62">
        <v>0</v>
      </c>
      <c r="X79" s="62">
        <v>0</v>
      </c>
      <c r="Y79" s="62">
        <v>0</v>
      </c>
      <c r="AA79" s="62">
        <v>0</v>
      </c>
      <c r="AB79" s="60">
        <v>0</v>
      </c>
      <c r="AD79" s="62">
        <v>0</v>
      </c>
      <c r="AE79" s="60">
        <v>0</v>
      </c>
    </row>
    <row r="80" spans="1:31" ht="12.95" customHeight="1" x14ac:dyDescent="0.2">
      <c r="A80" s="35"/>
      <c r="B80" s="35"/>
      <c r="C80" s="4"/>
      <c r="D80" s="4"/>
      <c r="F80" s="39" t="s">
        <v>228</v>
      </c>
      <c r="H80" s="56">
        <v>0</v>
      </c>
      <c r="I80" s="56">
        <v>0</v>
      </c>
      <c r="J80" s="56">
        <v>0</v>
      </c>
      <c r="K80" s="109">
        <v>0</v>
      </c>
      <c r="L80" s="109">
        <v>0</v>
      </c>
      <c r="M80" s="56">
        <v>0</v>
      </c>
      <c r="N80" s="56">
        <v>0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AA80" s="56">
        <v>0</v>
      </c>
      <c r="AB80" s="57"/>
      <c r="AD80" s="56">
        <v>0</v>
      </c>
      <c r="AE80" s="57"/>
    </row>
    <row r="81" spans="1:31" ht="18" hidden="1" customHeight="1" outlineLevel="1" x14ac:dyDescent="0.2">
      <c r="A81" s="30" t="s">
        <v>209</v>
      </c>
      <c r="B81" s="30" t="s">
        <v>17</v>
      </c>
      <c r="C81" s="4">
        <v>0</v>
      </c>
      <c r="D81" s="4">
        <v>0</v>
      </c>
      <c r="F81" s="106" t="s">
        <v>210</v>
      </c>
      <c r="H81" s="61">
        <v>0</v>
      </c>
      <c r="I81" s="61">
        <v>0</v>
      </c>
      <c r="J81" s="61">
        <v>0</v>
      </c>
      <c r="K81" s="86">
        <v>0</v>
      </c>
      <c r="L81" s="86">
        <v>0</v>
      </c>
      <c r="M81" s="61">
        <v>0</v>
      </c>
      <c r="N81" s="61">
        <v>0</v>
      </c>
      <c r="O81" s="61">
        <v>0</v>
      </c>
      <c r="P81" s="61">
        <v>0</v>
      </c>
      <c r="Q81" s="61">
        <v>0</v>
      </c>
      <c r="R81" s="61">
        <v>0</v>
      </c>
      <c r="S81" s="61">
        <v>0</v>
      </c>
      <c r="T81" s="61">
        <v>0</v>
      </c>
      <c r="U81" s="61">
        <v>0</v>
      </c>
      <c r="V81" s="61">
        <v>0</v>
      </c>
      <c r="W81" s="61">
        <v>0</v>
      </c>
      <c r="X81" s="61">
        <v>0</v>
      </c>
      <c r="Y81" s="61">
        <v>0</v>
      </c>
      <c r="AA81" s="61">
        <v>0</v>
      </c>
      <c r="AB81" s="60">
        <v>0</v>
      </c>
      <c r="AD81" s="61">
        <v>0</v>
      </c>
      <c r="AE81" s="60">
        <v>0</v>
      </c>
    </row>
    <row r="82" spans="1:31" ht="18" hidden="1" customHeight="1" outlineLevel="1" x14ac:dyDescent="0.2">
      <c r="A82" s="30" t="s">
        <v>206</v>
      </c>
      <c r="B82" s="30" t="s">
        <v>205</v>
      </c>
      <c r="C82" s="4">
        <v>0.25775484302286106</v>
      </c>
      <c r="D82" s="4">
        <v>1.9661138552388314E-2</v>
      </c>
      <c r="F82" s="106" t="s">
        <v>208</v>
      </c>
      <c r="H82" s="61">
        <v>-141.46899999999999</v>
      </c>
      <c r="I82" s="61">
        <v>-142.19999999999999</v>
      </c>
      <c r="J82" s="61">
        <v>-142.19999999999999</v>
      </c>
      <c r="K82" s="86">
        <v>-191.46100000000001</v>
      </c>
      <c r="L82" s="86">
        <v>-144.95599999999999</v>
      </c>
      <c r="M82" s="61">
        <v>-8.9209999999999994</v>
      </c>
      <c r="N82" s="61">
        <v>-9.8140000000000001</v>
      </c>
      <c r="O82" s="61">
        <v>-12.196000000000002</v>
      </c>
      <c r="P82" s="61">
        <v>-14.404999999999998</v>
      </c>
      <c r="Q82" s="61">
        <v>-14.914999999999999</v>
      </c>
      <c r="R82" s="61">
        <v>-13.786000000000008</v>
      </c>
      <c r="S82" s="61">
        <v>-9.164999999999992</v>
      </c>
      <c r="T82" s="61">
        <v>-6.9000000000000057</v>
      </c>
      <c r="U82" s="61">
        <v>-14.265999999999991</v>
      </c>
      <c r="V82" s="61">
        <v>-13.063000000000002</v>
      </c>
      <c r="W82" s="61">
        <v>-12.381999999999991</v>
      </c>
      <c r="X82" s="61">
        <v>-12.298000000000002</v>
      </c>
      <c r="Y82" s="61">
        <v>-142.11099999999999</v>
      </c>
      <c r="AA82" s="61">
        <v>-191.46100000000001</v>
      </c>
      <c r="AB82" s="60">
        <v>49.35</v>
      </c>
      <c r="AD82" s="61">
        <v>-144.95599999999999</v>
      </c>
      <c r="AE82" s="60">
        <v>2.85</v>
      </c>
    </row>
    <row r="83" spans="1:31" ht="18" customHeight="1" collapsed="1" x14ac:dyDescent="0.2">
      <c r="A83" s="35"/>
      <c r="B83" s="35"/>
      <c r="C83" s="4">
        <v>0.25775484302286106</v>
      </c>
      <c r="D83" s="4">
        <v>1.9661138552388314E-2</v>
      </c>
      <c r="F83" s="45" t="s">
        <v>314</v>
      </c>
      <c r="H83" s="62">
        <v>-141.46899999999999</v>
      </c>
      <c r="I83" s="62">
        <v>-142.19999999999999</v>
      </c>
      <c r="J83" s="62">
        <v>-142.19999999999999</v>
      </c>
      <c r="K83" s="108">
        <v>-191.46100000000001</v>
      </c>
      <c r="L83" s="108">
        <v>-144.95599999999999</v>
      </c>
      <c r="M83" s="62">
        <v>-8.9209999999999994</v>
      </c>
      <c r="N83" s="62">
        <v>-9.8140000000000001</v>
      </c>
      <c r="O83" s="62">
        <v>-12.196000000000002</v>
      </c>
      <c r="P83" s="62">
        <v>-14.404999999999998</v>
      </c>
      <c r="Q83" s="62">
        <v>-14.914999999999999</v>
      </c>
      <c r="R83" s="62">
        <v>-13.786000000000008</v>
      </c>
      <c r="S83" s="62">
        <v>-9.164999999999992</v>
      </c>
      <c r="T83" s="62">
        <v>-6.9000000000000057</v>
      </c>
      <c r="U83" s="62">
        <v>-14.265999999999991</v>
      </c>
      <c r="V83" s="62">
        <v>-13.063000000000002</v>
      </c>
      <c r="W83" s="62">
        <v>-12.381999999999991</v>
      </c>
      <c r="X83" s="62">
        <v>-12.298000000000002</v>
      </c>
      <c r="Y83" s="62">
        <v>-142.11099999999999</v>
      </c>
      <c r="AA83" s="62">
        <v>-191.46100000000001</v>
      </c>
      <c r="AB83" s="60">
        <v>49.35</v>
      </c>
      <c r="AD83" s="62">
        <v>-144.95599999999999</v>
      </c>
      <c r="AE83" s="60">
        <v>2.85</v>
      </c>
    </row>
    <row r="84" spans="1:31" ht="12.95" customHeight="1" x14ac:dyDescent="0.2">
      <c r="A84" s="35"/>
      <c r="B84" s="35"/>
      <c r="C84" s="4"/>
      <c r="D84" s="4"/>
      <c r="F84" s="39" t="s">
        <v>222</v>
      </c>
      <c r="H84" s="56">
        <v>0.30864908617669068</v>
      </c>
      <c r="I84" s="56">
        <v>0.34554233379583843</v>
      </c>
      <c r="J84" s="56">
        <v>0.34554233379583843</v>
      </c>
      <c r="K84" s="109">
        <v>0.38292200000000004</v>
      </c>
      <c r="L84" s="109">
        <v>0.462600925482687</v>
      </c>
      <c r="M84" s="56">
        <v>0.46378996620743435</v>
      </c>
      <c r="N84" s="56">
        <v>0.31159512319024635</v>
      </c>
      <c r="O84" s="56">
        <v>0.49676184269479873</v>
      </c>
      <c r="P84" s="56">
        <v>0.70018956885237893</v>
      </c>
      <c r="Q84" s="56">
        <v>0.49335141571844404</v>
      </c>
      <c r="R84" s="56">
        <v>0.41608064467449402</v>
      </c>
      <c r="S84" s="56">
        <v>0.4095906328208791</v>
      </c>
      <c r="T84" s="56">
        <v>0.33693051418526349</v>
      </c>
      <c r="U84" s="56">
        <v>0.5951854478701647</v>
      </c>
      <c r="V84" s="56">
        <v>0.48133682154832569</v>
      </c>
      <c r="W84" s="56">
        <v>0.36350292105803939</v>
      </c>
      <c r="X84" s="56">
        <v>0.25589912189437769</v>
      </c>
      <c r="Y84" s="56">
        <v>0.42382733280843654</v>
      </c>
      <c r="AA84" s="56">
        <v>0.38292200000000004</v>
      </c>
      <c r="AB84" s="57"/>
      <c r="AD84" s="56">
        <v>0.462600925482687</v>
      </c>
      <c r="AE84" s="57"/>
    </row>
    <row r="85" spans="1:31" ht="18" hidden="1" customHeight="1" outlineLevel="2" x14ac:dyDescent="0.2">
      <c r="A85" s="33" t="s">
        <v>43</v>
      </c>
      <c r="B85" s="33" t="s">
        <v>17</v>
      </c>
      <c r="C85" s="4"/>
      <c r="D85" s="4"/>
      <c r="F85" s="38" t="s">
        <v>44</v>
      </c>
      <c r="H85" s="66">
        <v>0</v>
      </c>
      <c r="I85" s="66">
        <v>0</v>
      </c>
      <c r="J85" s="66">
        <v>0</v>
      </c>
      <c r="K85" s="86"/>
      <c r="L85" s="86"/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AA85" s="70"/>
      <c r="AB85" s="71"/>
      <c r="AD85" s="70"/>
      <c r="AE85" s="71"/>
    </row>
    <row r="86" spans="1:31" ht="18" hidden="1" customHeight="1" outlineLevel="2" x14ac:dyDescent="0.2">
      <c r="A86" s="33" t="s">
        <v>43</v>
      </c>
      <c r="B86" s="33" t="s">
        <v>17</v>
      </c>
      <c r="C86" s="4"/>
      <c r="D86" s="4"/>
      <c r="F86" s="38" t="s">
        <v>45</v>
      </c>
      <c r="H86" s="66">
        <v>0</v>
      </c>
      <c r="I86" s="66">
        <v>0</v>
      </c>
      <c r="J86" s="66">
        <v>0</v>
      </c>
      <c r="K86" s="86"/>
      <c r="L86" s="86"/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AA86" s="70"/>
      <c r="AB86" s="71"/>
      <c r="AD86" s="70"/>
      <c r="AE86" s="71"/>
    </row>
    <row r="87" spans="1:31" ht="18" hidden="1" customHeight="1" outlineLevel="2" x14ac:dyDescent="0.2">
      <c r="A87" s="33" t="s">
        <v>46</v>
      </c>
      <c r="B87" s="33" t="s">
        <v>17</v>
      </c>
      <c r="C87" s="4">
        <v>0</v>
      </c>
      <c r="D87" s="4">
        <v>0</v>
      </c>
      <c r="F87" s="38" t="s">
        <v>47</v>
      </c>
      <c r="H87" s="66">
        <v>-2.2639999999999998</v>
      </c>
      <c r="I87" s="66">
        <v>-3.1379999999999999</v>
      </c>
      <c r="J87" s="66">
        <v>-3.1379999999999999</v>
      </c>
      <c r="K87" s="86">
        <v>0</v>
      </c>
      <c r="L87" s="8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-3.5</v>
      </c>
      <c r="T87" s="66">
        <v>3.5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AA87" s="66">
        <v>0</v>
      </c>
      <c r="AB87" s="65">
        <v>0</v>
      </c>
      <c r="AD87" s="66">
        <v>0</v>
      </c>
      <c r="AE87" s="65">
        <v>0</v>
      </c>
    </row>
    <row r="88" spans="1:31" ht="18" hidden="1" customHeight="1" outlineLevel="1" x14ac:dyDescent="0.2">
      <c r="A88" s="35"/>
      <c r="B88" s="35"/>
      <c r="C88" s="4">
        <v>0</v>
      </c>
      <c r="D88" s="4">
        <v>0</v>
      </c>
      <c r="F88" s="106" t="s">
        <v>48</v>
      </c>
      <c r="H88" s="61">
        <v>-2.2639999999999998</v>
      </c>
      <c r="I88" s="61">
        <v>-3.1379999999999999</v>
      </c>
      <c r="J88" s="61">
        <v>-3.1379999999999999</v>
      </c>
      <c r="K88" s="86">
        <v>0</v>
      </c>
      <c r="L88" s="86">
        <v>0</v>
      </c>
      <c r="M88" s="61">
        <v>0</v>
      </c>
      <c r="N88" s="61">
        <v>0</v>
      </c>
      <c r="O88" s="61">
        <v>0</v>
      </c>
      <c r="P88" s="61">
        <v>0</v>
      </c>
      <c r="Q88" s="61">
        <v>0</v>
      </c>
      <c r="R88" s="61">
        <v>0</v>
      </c>
      <c r="S88" s="61">
        <v>-3.5</v>
      </c>
      <c r="T88" s="61">
        <v>3.5</v>
      </c>
      <c r="U88" s="61">
        <v>0</v>
      </c>
      <c r="V88" s="61">
        <v>0</v>
      </c>
      <c r="W88" s="61">
        <v>0</v>
      </c>
      <c r="X88" s="61">
        <v>0</v>
      </c>
      <c r="Y88" s="61">
        <v>0</v>
      </c>
      <c r="AA88" s="61">
        <v>0</v>
      </c>
      <c r="AB88" s="60">
        <v>0</v>
      </c>
      <c r="AD88" s="61">
        <v>0</v>
      </c>
      <c r="AE88" s="60">
        <v>0</v>
      </c>
    </row>
    <row r="89" spans="1:31" ht="18" hidden="1" customHeight="1" outlineLevel="1" x14ac:dyDescent="0.2">
      <c r="A89" s="30" t="s">
        <v>50</v>
      </c>
      <c r="B89" s="30" t="s">
        <v>17</v>
      </c>
      <c r="C89" s="4">
        <v>-1.0135135135135136</v>
      </c>
      <c r="D89" s="4">
        <v>-1.0135135135135136</v>
      </c>
      <c r="F89" s="106" t="s">
        <v>52</v>
      </c>
      <c r="H89" s="61">
        <v>-6.9000000000000006E-2</v>
      </c>
      <c r="I89" s="61">
        <v>-0.20399999999999999</v>
      </c>
      <c r="J89" s="61">
        <v>-0.20399999999999999</v>
      </c>
      <c r="K89" s="86">
        <v>0</v>
      </c>
      <c r="L89" s="86">
        <v>0</v>
      </c>
      <c r="M89" s="61">
        <v>0</v>
      </c>
      <c r="N89" s="61">
        <v>0</v>
      </c>
      <c r="O89" s="61">
        <v>0</v>
      </c>
      <c r="P89" s="61">
        <v>0</v>
      </c>
      <c r="Q89" s="61">
        <v>0</v>
      </c>
      <c r="R89" s="61">
        <v>0</v>
      </c>
      <c r="S89" s="61">
        <v>0</v>
      </c>
      <c r="T89" s="61">
        <v>0</v>
      </c>
      <c r="U89" s="61">
        <v>-0.17</v>
      </c>
      <c r="V89" s="61">
        <v>0</v>
      </c>
      <c r="W89" s="61">
        <v>-5.3999999999999992E-2</v>
      </c>
      <c r="X89" s="61">
        <v>-7.1999999999999981E-2</v>
      </c>
      <c r="Y89" s="61">
        <v>-0.29599999999999999</v>
      </c>
      <c r="AA89" s="61">
        <v>0</v>
      </c>
      <c r="AB89" s="60">
        <v>-0.3</v>
      </c>
      <c r="AD89" s="61">
        <v>0</v>
      </c>
      <c r="AE89" s="60">
        <v>-0.3</v>
      </c>
    </row>
    <row r="90" spans="1:31" ht="18" hidden="1" customHeight="1" outlineLevel="1" x14ac:dyDescent="0.2">
      <c r="A90" s="30" t="s">
        <v>49</v>
      </c>
      <c r="B90" s="30" t="s">
        <v>17</v>
      </c>
      <c r="C90" s="4">
        <v>0</v>
      </c>
      <c r="D90" s="4">
        <v>0</v>
      </c>
      <c r="F90" s="106" t="s">
        <v>51</v>
      </c>
      <c r="H90" s="61">
        <v>0</v>
      </c>
      <c r="I90" s="61">
        <v>0</v>
      </c>
      <c r="J90" s="61">
        <v>0</v>
      </c>
      <c r="K90" s="86">
        <v>0</v>
      </c>
      <c r="L90" s="86">
        <v>0</v>
      </c>
      <c r="M90" s="61">
        <v>0</v>
      </c>
      <c r="N90" s="61">
        <v>0</v>
      </c>
      <c r="O90" s="61">
        <v>0</v>
      </c>
      <c r="P90" s="61">
        <v>0</v>
      </c>
      <c r="Q90" s="61">
        <v>0</v>
      </c>
      <c r="R90" s="61">
        <v>0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0</v>
      </c>
      <c r="Y90" s="61">
        <v>0</v>
      </c>
      <c r="AA90" s="61">
        <v>0</v>
      </c>
      <c r="AB90" s="60">
        <v>0</v>
      </c>
      <c r="AD90" s="61">
        <v>0</v>
      </c>
      <c r="AE90" s="60">
        <v>0</v>
      </c>
    </row>
    <row r="91" spans="1:31" ht="18" hidden="1" customHeight="1" outlineLevel="1" x14ac:dyDescent="0.2">
      <c r="A91" s="30" t="s">
        <v>213</v>
      </c>
      <c r="B91" s="30" t="s">
        <v>17</v>
      </c>
      <c r="C91" s="4">
        <v>-1.0011098779134295</v>
      </c>
      <c r="D91" s="4">
        <v>-1.0011098779134295</v>
      </c>
      <c r="F91" s="106" t="s">
        <v>215</v>
      </c>
      <c r="H91" s="61">
        <v>-4.4080000000000004</v>
      </c>
      <c r="I91" s="61">
        <v>-5.0650000000000004</v>
      </c>
      <c r="J91" s="61">
        <v>-5.0650000000000004</v>
      </c>
      <c r="K91" s="86">
        <v>0</v>
      </c>
      <c r="L91" s="86">
        <v>0</v>
      </c>
      <c r="M91" s="61">
        <v>-0.31</v>
      </c>
      <c r="N91" s="61">
        <v>-0.14000000000000001</v>
      </c>
      <c r="O91" s="61">
        <v>-0.57600000000000007</v>
      </c>
      <c r="P91" s="61">
        <v>-0.20700000000000007</v>
      </c>
      <c r="Q91" s="61">
        <v>-2.6999999999999913E-2</v>
      </c>
      <c r="R91" s="61">
        <v>-0.93700000000000006</v>
      </c>
      <c r="S91" s="61">
        <v>-0.44300000000000006</v>
      </c>
      <c r="T91" s="61">
        <v>-0.7849999999999997</v>
      </c>
      <c r="U91" s="61">
        <v>-7.1000000000000174E-2</v>
      </c>
      <c r="V91" s="61">
        <v>-0.61400000000000032</v>
      </c>
      <c r="W91" s="61">
        <v>-0.37599999999999945</v>
      </c>
      <c r="X91" s="61">
        <v>-1.9000000000000128E-2</v>
      </c>
      <c r="Y91" s="61">
        <v>-4.5049999999999999</v>
      </c>
      <c r="AA91" s="61">
        <v>0</v>
      </c>
      <c r="AB91" s="60">
        <v>-4.51</v>
      </c>
      <c r="AD91" s="61">
        <v>0</v>
      </c>
      <c r="AE91" s="60">
        <v>-4.51</v>
      </c>
    </row>
    <row r="92" spans="1:31" ht="18" hidden="1" customHeight="1" outlineLevel="1" x14ac:dyDescent="0.2">
      <c r="A92" s="30" t="s">
        <v>214</v>
      </c>
      <c r="B92" s="30" t="s">
        <v>17</v>
      </c>
      <c r="C92" s="4">
        <v>0</v>
      </c>
      <c r="D92" s="4">
        <v>0</v>
      </c>
      <c r="F92" s="106" t="s">
        <v>216</v>
      </c>
      <c r="H92" s="61">
        <v>0</v>
      </c>
      <c r="I92" s="61">
        <v>0</v>
      </c>
      <c r="J92" s="61">
        <v>0</v>
      </c>
      <c r="K92" s="86">
        <v>0</v>
      </c>
      <c r="L92" s="86">
        <v>0</v>
      </c>
      <c r="M92" s="61">
        <v>0</v>
      </c>
      <c r="N92" s="61">
        <v>0</v>
      </c>
      <c r="O92" s="61">
        <v>0</v>
      </c>
      <c r="P92" s="61">
        <v>0</v>
      </c>
      <c r="Q92" s="61">
        <v>0</v>
      </c>
      <c r="R92" s="61">
        <v>0</v>
      </c>
      <c r="S92" s="61">
        <v>0</v>
      </c>
      <c r="T92" s="61">
        <v>0</v>
      </c>
      <c r="U92" s="61">
        <v>0</v>
      </c>
      <c r="V92" s="61">
        <v>0</v>
      </c>
      <c r="W92" s="61">
        <v>0</v>
      </c>
      <c r="X92" s="61">
        <v>0</v>
      </c>
      <c r="Y92" s="61">
        <v>0</v>
      </c>
      <c r="AA92" s="61">
        <v>0</v>
      </c>
      <c r="AB92" s="60">
        <v>0</v>
      </c>
      <c r="AD92" s="61">
        <v>0</v>
      </c>
      <c r="AE92" s="60">
        <v>0</v>
      </c>
    </row>
    <row r="93" spans="1:31" ht="18" hidden="1" customHeight="1" outlineLevel="2" x14ac:dyDescent="0.2">
      <c r="A93" s="33" t="s">
        <v>53</v>
      </c>
      <c r="B93" s="33" t="s">
        <v>17</v>
      </c>
      <c r="C93" s="4">
        <v>-1</v>
      </c>
      <c r="D93" s="4">
        <v>-1</v>
      </c>
      <c r="F93" s="38" t="s">
        <v>55</v>
      </c>
      <c r="H93" s="66">
        <v>0</v>
      </c>
      <c r="I93" s="66">
        <v>2.4189999999999801</v>
      </c>
      <c r="J93" s="66">
        <v>2.4189999999999801</v>
      </c>
      <c r="K93" s="86">
        <v>0</v>
      </c>
      <c r="L93" s="86">
        <v>0</v>
      </c>
      <c r="M93" s="66">
        <v>0.78500000000000003</v>
      </c>
      <c r="N93" s="66">
        <v>1.133</v>
      </c>
      <c r="O93" s="66">
        <v>1.7479999999999998</v>
      </c>
      <c r="P93" s="66">
        <v>0.39300000000000024</v>
      </c>
      <c r="Q93" s="66">
        <v>0.67600000000000993</v>
      </c>
      <c r="R93" s="66">
        <v>0.69799999999997997</v>
      </c>
      <c r="S93" s="66">
        <v>0.6260000000000101</v>
      </c>
      <c r="T93" s="66">
        <v>0.84200000000000941</v>
      </c>
      <c r="U93" s="66">
        <v>1.192999999999981</v>
      </c>
      <c r="V93" s="66">
        <v>-44.120999999999995</v>
      </c>
      <c r="W93" s="66">
        <v>0.53399999999999892</v>
      </c>
      <c r="X93" s="66">
        <v>0.55300000000000438</v>
      </c>
      <c r="Y93" s="66">
        <v>-34.94</v>
      </c>
      <c r="AA93" s="66">
        <v>0</v>
      </c>
      <c r="AB93" s="60">
        <v>-34.94</v>
      </c>
      <c r="AD93" s="66">
        <v>0</v>
      </c>
      <c r="AE93" s="60">
        <v>-34.94</v>
      </c>
    </row>
    <row r="94" spans="1:31" ht="18" hidden="1" customHeight="1" outlineLevel="2" x14ac:dyDescent="0.2">
      <c r="A94" s="33" t="s">
        <v>54</v>
      </c>
      <c r="B94" s="33" t="s">
        <v>17</v>
      </c>
      <c r="C94" s="4">
        <v>0</v>
      </c>
      <c r="D94" s="4">
        <v>0</v>
      </c>
      <c r="F94" s="38" t="s">
        <v>56</v>
      </c>
      <c r="H94" s="66">
        <v>0</v>
      </c>
      <c r="I94" s="66">
        <v>0</v>
      </c>
      <c r="J94" s="66">
        <v>0</v>
      </c>
      <c r="K94" s="86">
        <v>0</v>
      </c>
      <c r="L94" s="8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AA94" s="66">
        <v>0</v>
      </c>
      <c r="AB94" s="60">
        <v>0</v>
      </c>
      <c r="AD94" s="66">
        <v>0</v>
      </c>
      <c r="AE94" s="60">
        <v>0</v>
      </c>
    </row>
    <row r="95" spans="1:31" ht="18" hidden="1" customHeight="1" outlineLevel="1" x14ac:dyDescent="0.2">
      <c r="A95" s="35"/>
      <c r="B95" s="35"/>
      <c r="C95" s="4">
        <v>0.99918500407498834</v>
      </c>
      <c r="D95" s="4">
        <v>0.99918500407498834</v>
      </c>
      <c r="F95" s="106" t="s">
        <v>58</v>
      </c>
      <c r="H95" s="61">
        <v>10.533000000000087</v>
      </c>
      <c r="I95" s="61">
        <v>0.22699999999999321</v>
      </c>
      <c r="J95" s="61">
        <v>0.22699999999999321</v>
      </c>
      <c r="K95" s="86">
        <v>0</v>
      </c>
      <c r="L95" s="86">
        <v>0</v>
      </c>
      <c r="M95" s="61">
        <v>-0.17899999999999722</v>
      </c>
      <c r="N95" s="61">
        <v>-4.4920000000000053</v>
      </c>
      <c r="O95" s="61">
        <v>-3.4899999999999989</v>
      </c>
      <c r="P95" s="61">
        <v>2.4650000000000061</v>
      </c>
      <c r="Q95" s="61">
        <v>3.5239999999999929</v>
      </c>
      <c r="R95" s="61">
        <v>-1.125999999999981</v>
      </c>
      <c r="S95" s="61">
        <v>25.839999999999964</v>
      </c>
      <c r="T95" s="61">
        <v>-26.961999999999986</v>
      </c>
      <c r="U95" s="61">
        <v>3.1209999999999671</v>
      </c>
      <c r="V95" s="61">
        <v>-7.6369999999999045</v>
      </c>
      <c r="W95" s="61">
        <v>14.210999999999878</v>
      </c>
      <c r="X95" s="61">
        <v>0.86000000000000554</v>
      </c>
      <c r="Y95" s="61">
        <v>6.1349999999999465</v>
      </c>
      <c r="AA95" s="61">
        <v>0</v>
      </c>
      <c r="AB95" s="60">
        <v>6.13</v>
      </c>
      <c r="AD95" s="61">
        <v>0</v>
      </c>
      <c r="AE95" s="60">
        <v>6.13</v>
      </c>
    </row>
    <row r="96" spans="1:31" ht="18" customHeight="1" collapsed="1" x14ac:dyDescent="0.2">
      <c r="A96" s="35"/>
      <c r="B96" s="35"/>
      <c r="C96" s="4">
        <v>0.99700149925041492</v>
      </c>
      <c r="D96" s="4">
        <v>0.99700149925041492</v>
      </c>
      <c r="F96" s="45" t="s">
        <v>26</v>
      </c>
      <c r="H96" s="62">
        <v>3.7920000000000869</v>
      </c>
      <c r="I96" s="62">
        <v>-8.1800000000000068</v>
      </c>
      <c r="J96" s="62">
        <v>-8.1800000000000068</v>
      </c>
      <c r="K96" s="108">
        <v>0</v>
      </c>
      <c r="L96" s="108">
        <v>0</v>
      </c>
      <c r="M96" s="62">
        <v>-0.48899999999999721</v>
      </c>
      <c r="N96" s="62">
        <v>-4.632000000000005</v>
      </c>
      <c r="O96" s="62">
        <v>-4.0659999999999989</v>
      </c>
      <c r="P96" s="62">
        <v>2.2580000000000062</v>
      </c>
      <c r="Q96" s="62">
        <v>3.4969999999999928</v>
      </c>
      <c r="R96" s="62">
        <v>-2.0629999999999811</v>
      </c>
      <c r="S96" s="62">
        <v>21.896999999999963</v>
      </c>
      <c r="T96" s="62">
        <v>-24.246999999999986</v>
      </c>
      <c r="U96" s="62">
        <v>2.879999999999967</v>
      </c>
      <c r="V96" s="62">
        <v>-8.2509999999999053</v>
      </c>
      <c r="W96" s="62">
        <v>13.780999999999878</v>
      </c>
      <c r="X96" s="62">
        <v>0.76900000000000546</v>
      </c>
      <c r="Y96" s="62">
        <v>1.3339999999999463</v>
      </c>
      <c r="AA96" s="62">
        <v>0</v>
      </c>
      <c r="AB96" s="60">
        <v>1.33</v>
      </c>
      <c r="AD96" s="62">
        <v>0</v>
      </c>
      <c r="AE96" s="60">
        <v>1.33</v>
      </c>
    </row>
    <row r="97" spans="1:31" ht="18" customHeight="1" x14ac:dyDescent="0.2">
      <c r="A97" s="30" t="s">
        <v>16</v>
      </c>
      <c r="B97" s="30" t="s">
        <v>17</v>
      </c>
      <c r="C97" s="4">
        <v>9.3962353726862929E-2</v>
      </c>
      <c r="D97" s="4">
        <v>2.0553369389722086E-2</v>
      </c>
      <c r="F97" s="95" t="s">
        <v>118</v>
      </c>
      <c r="H97" s="64">
        <v>-784.61699999999996</v>
      </c>
      <c r="I97" s="64">
        <v>-779.84699999999998</v>
      </c>
      <c r="J97" s="64">
        <v>-779.84699999999998</v>
      </c>
      <c r="K97" s="89">
        <v>-880.45899999999995</v>
      </c>
      <c r="L97" s="89">
        <v>-814.46500000000003</v>
      </c>
      <c r="M97" s="64">
        <v>-59.689</v>
      </c>
      <c r="N97" s="64">
        <v>-67.858000000000004</v>
      </c>
      <c r="O97" s="64">
        <v>-71.391999999999996</v>
      </c>
      <c r="P97" s="64">
        <v>-66.799000000000007</v>
      </c>
      <c r="Q97" s="64">
        <v>-57.593999999999994</v>
      </c>
      <c r="R97" s="64">
        <v>-82.064999999999998</v>
      </c>
      <c r="S97" s="64">
        <v>-28.362000000000023</v>
      </c>
      <c r="T97" s="64">
        <v>-75.403999999999996</v>
      </c>
      <c r="U97" s="64">
        <v>-69.383000000000038</v>
      </c>
      <c r="V97" s="64">
        <v>-91.892999999999915</v>
      </c>
      <c r="W97" s="64">
        <v>-60.233000000000061</v>
      </c>
      <c r="X97" s="64">
        <v>-67.052000000000021</v>
      </c>
      <c r="Y97" s="64">
        <v>-797.72400000000005</v>
      </c>
      <c r="AA97" s="64">
        <v>-880.45899999999995</v>
      </c>
      <c r="AB97" s="60">
        <v>82.73</v>
      </c>
      <c r="AD97" s="64">
        <v>-814.46500000000003</v>
      </c>
      <c r="AE97" s="60">
        <v>16.739999999999998</v>
      </c>
    </row>
    <row r="98" spans="1:31" ht="12.95" customHeight="1" x14ac:dyDescent="0.2">
      <c r="A98" s="35"/>
      <c r="B98" s="35"/>
      <c r="C98" s="4"/>
      <c r="D98" s="4"/>
      <c r="F98" s="39" t="s">
        <v>223</v>
      </c>
      <c r="H98" s="56">
        <v>0.16925114569929989</v>
      </c>
      <c r="I98" s="56">
        <v>0.16868482864639991</v>
      </c>
      <c r="J98" s="56">
        <v>0.16868482864639991</v>
      </c>
      <c r="K98" s="109">
        <v>0.17796865746158991</v>
      </c>
      <c r="L98" s="109">
        <v>0.16000890351765565</v>
      </c>
      <c r="M98" s="56">
        <v>0.16213448505344361</v>
      </c>
      <c r="N98" s="56">
        <v>0.17190512259937532</v>
      </c>
      <c r="O98" s="56">
        <v>0.17286742681973044</v>
      </c>
      <c r="P98" s="56">
        <v>0.15606659564128439</v>
      </c>
      <c r="Q98" s="56">
        <v>0.12641629535327817</v>
      </c>
      <c r="R98" s="56">
        <v>0.19000486212405371</v>
      </c>
      <c r="S98" s="56">
        <v>6.6966847136991442E-2</v>
      </c>
      <c r="T98" s="56">
        <v>0.16732275601908345</v>
      </c>
      <c r="U98" s="56">
        <v>0.16511584738986412</v>
      </c>
      <c r="V98" s="56">
        <v>0.2078918970279825</v>
      </c>
      <c r="W98" s="56">
        <v>0.13142959386066955</v>
      </c>
      <c r="X98" s="56">
        <v>0.14451422684500698</v>
      </c>
      <c r="Y98" s="56">
        <v>0.1548958790042691</v>
      </c>
      <c r="AA98" s="56">
        <v>0.17796865746158991</v>
      </c>
      <c r="AB98" s="57"/>
      <c r="AD98" s="56">
        <v>0.16000890351765565</v>
      </c>
      <c r="AE98" s="57"/>
    </row>
    <row r="99" spans="1:31" ht="6.95" customHeight="1" x14ac:dyDescent="0.2">
      <c r="C99" s="4"/>
      <c r="D99" s="4"/>
      <c r="F99" s="96"/>
      <c r="K99" s="110"/>
      <c r="L99" s="110"/>
      <c r="AB99" s="7"/>
      <c r="AE99" s="7"/>
    </row>
    <row r="100" spans="1:31" ht="18" hidden="1" customHeight="1" outlineLevel="1" x14ac:dyDescent="0.2">
      <c r="A100" s="30" t="s">
        <v>36</v>
      </c>
      <c r="B100" s="30" t="s">
        <v>59</v>
      </c>
      <c r="C100" s="4"/>
      <c r="D100" s="4"/>
      <c r="F100" s="51" t="s">
        <v>235</v>
      </c>
      <c r="G100" s="34"/>
      <c r="H100" s="72">
        <v>0</v>
      </c>
      <c r="I100" s="72">
        <v>1.7589999999999997</v>
      </c>
      <c r="J100" s="72">
        <v>1.7589999999999999</v>
      </c>
      <c r="K100" s="111">
        <v>3</v>
      </c>
      <c r="L100" s="111">
        <v>1</v>
      </c>
      <c r="M100" s="72">
        <v>1.992</v>
      </c>
      <c r="N100" s="72">
        <v>1.992</v>
      </c>
      <c r="O100" s="72">
        <v>1.992</v>
      </c>
      <c r="P100" s="72">
        <v>1.992</v>
      </c>
      <c r="Q100" s="72">
        <v>1.9919999999999991</v>
      </c>
      <c r="R100" s="72">
        <v>1.9920000000000009</v>
      </c>
      <c r="S100" s="72">
        <v>1.9919999999999991</v>
      </c>
      <c r="T100" s="72">
        <v>1.9920000000000009</v>
      </c>
      <c r="U100" s="72">
        <v>1.9920000000000009</v>
      </c>
      <c r="V100" s="72">
        <v>1.9919999999999973</v>
      </c>
      <c r="W100" s="72">
        <v>1.9920000000000009</v>
      </c>
      <c r="X100" s="72">
        <v>0.99600000000000222</v>
      </c>
      <c r="Y100" s="72">
        <v>1.909</v>
      </c>
      <c r="Z100" s="34"/>
      <c r="AA100" s="72">
        <v>3</v>
      </c>
      <c r="AB100" s="73">
        <v>-1.0900000000000001</v>
      </c>
      <c r="AC100" s="34"/>
      <c r="AD100" s="72">
        <v>1</v>
      </c>
      <c r="AE100" s="73">
        <v>0.91</v>
      </c>
    </row>
    <row r="101" spans="1:31" ht="18" hidden="1" customHeight="1" outlineLevel="1" x14ac:dyDescent="0.2">
      <c r="A101" s="30" t="s">
        <v>36</v>
      </c>
      <c r="B101" s="30" t="s">
        <v>60</v>
      </c>
      <c r="C101" s="4"/>
      <c r="D101" s="4"/>
      <c r="F101" s="51" t="s">
        <v>236</v>
      </c>
      <c r="G101" s="34"/>
      <c r="H101" s="72">
        <v>0.46</v>
      </c>
      <c r="I101" s="72">
        <v>0.45800000000000002</v>
      </c>
      <c r="J101" s="72">
        <v>0.45800000000000002</v>
      </c>
      <c r="K101" s="111">
        <v>0.96</v>
      </c>
      <c r="L101" s="111">
        <v>0.69799999999999995</v>
      </c>
      <c r="M101" s="72">
        <v>0.43199999999999994</v>
      </c>
      <c r="N101" s="72">
        <v>0.46799999999999997</v>
      </c>
      <c r="O101" s="72">
        <v>0.34800000000000009</v>
      </c>
      <c r="P101" s="72">
        <v>0.45599999999999974</v>
      </c>
      <c r="Q101" s="72">
        <v>0.45600000000000041</v>
      </c>
      <c r="R101" s="72">
        <v>0.46799999999999997</v>
      </c>
      <c r="S101" s="72">
        <v>0.45599999999999996</v>
      </c>
      <c r="T101" s="72">
        <v>0.45599999999999996</v>
      </c>
      <c r="U101" s="72">
        <v>0.45600000000000041</v>
      </c>
      <c r="V101" s="72">
        <v>0.45599999999999952</v>
      </c>
      <c r="W101" s="72">
        <v>1.452</v>
      </c>
      <c r="X101" s="72">
        <v>1.4640000000000004</v>
      </c>
      <c r="Y101" s="72">
        <v>0.61399999999999999</v>
      </c>
      <c r="Z101" s="34"/>
      <c r="AA101" s="72">
        <v>0.96</v>
      </c>
      <c r="AB101" s="73">
        <v>-0.35</v>
      </c>
      <c r="AC101" s="34"/>
      <c r="AD101" s="72">
        <v>0.69799999999999995</v>
      </c>
      <c r="AE101" s="73">
        <v>-0.08</v>
      </c>
    </row>
    <row r="102" spans="1:31" ht="18" hidden="1" customHeight="1" outlineLevel="1" x14ac:dyDescent="0.2">
      <c r="A102" s="30" t="s">
        <v>36</v>
      </c>
      <c r="B102" s="30" t="s">
        <v>61</v>
      </c>
      <c r="C102" s="4"/>
      <c r="D102" s="4"/>
      <c r="F102" s="51" t="s">
        <v>237</v>
      </c>
      <c r="G102" s="34"/>
      <c r="H102" s="72">
        <v>36.4</v>
      </c>
      <c r="I102" s="72">
        <v>32.720999999999997</v>
      </c>
      <c r="J102" s="72">
        <v>32.720999999999997</v>
      </c>
      <c r="K102" s="111">
        <v>32.783000000000001</v>
      </c>
      <c r="L102" s="111">
        <v>35.526000000000003</v>
      </c>
      <c r="M102" s="72">
        <v>32.700000000000003</v>
      </c>
      <c r="N102" s="72">
        <v>33.203999999999994</v>
      </c>
      <c r="O102" s="72">
        <v>35.77200000000002</v>
      </c>
      <c r="P102" s="72">
        <v>35.47199999999998</v>
      </c>
      <c r="Q102" s="72">
        <v>34.76400000000001</v>
      </c>
      <c r="R102" s="72">
        <v>34.835999999999984</v>
      </c>
      <c r="S102" s="72">
        <v>33.408000000000015</v>
      </c>
      <c r="T102" s="72">
        <v>32.879999999999995</v>
      </c>
      <c r="U102" s="72">
        <v>35.339999999999975</v>
      </c>
      <c r="V102" s="72">
        <v>37.656000000000006</v>
      </c>
      <c r="W102" s="72">
        <v>37.380000000000052</v>
      </c>
      <c r="X102" s="72">
        <v>39.035999999999945</v>
      </c>
      <c r="Y102" s="72">
        <v>35.204000000000001</v>
      </c>
      <c r="Z102" s="34"/>
      <c r="AA102" s="72">
        <v>32.783000000000001</v>
      </c>
      <c r="AB102" s="73">
        <v>2.42</v>
      </c>
      <c r="AC102" s="34"/>
      <c r="AD102" s="72">
        <v>35.526000000000003</v>
      </c>
      <c r="AE102" s="73">
        <v>-0.32</v>
      </c>
    </row>
    <row r="103" spans="1:31" ht="18" hidden="1" customHeight="1" outlineLevel="1" x14ac:dyDescent="0.2">
      <c r="A103" s="30" t="s">
        <v>36</v>
      </c>
      <c r="B103" s="30" t="s">
        <v>62</v>
      </c>
      <c r="C103" s="4"/>
      <c r="D103" s="4"/>
      <c r="F103" s="51" t="s">
        <v>238</v>
      </c>
      <c r="G103" s="34"/>
      <c r="H103" s="72">
        <v>1.97</v>
      </c>
      <c r="I103" s="72">
        <v>1.7</v>
      </c>
      <c r="J103" s="72">
        <v>1.7</v>
      </c>
      <c r="K103" s="111">
        <v>2</v>
      </c>
      <c r="L103" s="111">
        <v>2.3260000000000001</v>
      </c>
      <c r="M103" s="72">
        <v>1.992</v>
      </c>
      <c r="N103" s="72">
        <v>1.992</v>
      </c>
      <c r="O103" s="72">
        <v>1.992</v>
      </c>
      <c r="P103" s="72">
        <v>1.992</v>
      </c>
      <c r="Q103" s="72">
        <v>1.9919999999999991</v>
      </c>
      <c r="R103" s="72">
        <v>2.9160000000000004</v>
      </c>
      <c r="S103" s="72">
        <v>2.9880000000000013</v>
      </c>
      <c r="T103" s="72">
        <v>2.9879999999999995</v>
      </c>
      <c r="U103" s="72">
        <v>2.9879999999999995</v>
      </c>
      <c r="V103" s="72">
        <v>1.9920000000000009</v>
      </c>
      <c r="W103" s="72">
        <v>2.5799999999999983</v>
      </c>
      <c r="X103" s="72">
        <v>2.9880000000000031</v>
      </c>
      <c r="Y103" s="72">
        <v>2.4500000000000002</v>
      </c>
      <c r="Z103" s="34"/>
      <c r="AA103" s="72">
        <v>2</v>
      </c>
      <c r="AB103" s="73">
        <v>0.45</v>
      </c>
      <c r="AC103" s="34"/>
      <c r="AD103" s="72">
        <v>2.3260000000000001</v>
      </c>
      <c r="AE103" s="73">
        <v>0.12</v>
      </c>
    </row>
    <row r="104" spans="1:31" ht="18" customHeight="1" collapsed="1" x14ac:dyDescent="0.2">
      <c r="A104" s="30" t="s">
        <v>36</v>
      </c>
      <c r="B104" s="30" t="s">
        <v>18</v>
      </c>
      <c r="C104" s="4"/>
      <c r="D104" s="4"/>
      <c r="F104" s="97" t="s">
        <v>239</v>
      </c>
      <c r="H104" s="74">
        <v>38.83</v>
      </c>
      <c r="I104" s="74">
        <v>36.637999999999998</v>
      </c>
      <c r="J104" s="74">
        <v>36.637999999999998</v>
      </c>
      <c r="K104" s="112">
        <v>38.743000000000002</v>
      </c>
      <c r="L104" s="112">
        <v>39.549999999999997</v>
      </c>
      <c r="M104" s="74">
        <v>37.116</v>
      </c>
      <c r="N104" s="74">
        <v>37.655999999999992</v>
      </c>
      <c r="O104" s="74">
        <v>40.104000000000013</v>
      </c>
      <c r="P104" s="74">
        <v>39.911999999999978</v>
      </c>
      <c r="Q104" s="74">
        <v>39.204000000000036</v>
      </c>
      <c r="R104" s="74">
        <v>40.211999999999989</v>
      </c>
      <c r="S104" s="74">
        <v>38.843999999999994</v>
      </c>
      <c r="T104" s="74">
        <v>38.315999999999974</v>
      </c>
      <c r="U104" s="74">
        <v>40.77600000000001</v>
      </c>
      <c r="V104" s="74">
        <v>42.096000000000004</v>
      </c>
      <c r="W104" s="74">
        <v>43.403999999999996</v>
      </c>
      <c r="X104" s="74">
        <v>44.484000000000037</v>
      </c>
      <c r="Y104" s="74">
        <v>40.177</v>
      </c>
      <c r="AA104" s="74">
        <v>38.743000000000002</v>
      </c>
      <c r="AB104" s="73">
        <v>1.43</v>
      </c>
      <c r="AD104" s="74">
        <v>39.549999999999997</v>
      </c>
      <c r="AE104" s="73">
        <v>0.63</v>
      </c>
    </row>
    <row r="105" spans="1:31" ht="18" hidden="1" customHeight="1" outlineLevel="1" collapsed="1" x14ac:dyDescent="0.2">
      <c r="A105" s="33" t="s">
        <v>211</v>
      </c>
      <c r="B105" s="33" t="s">
        <v>18</v>
      </c>
      <c r="C105" s="4"/>
      <c r="D105" s="4"/>
      <c r="F105" s="98" t="s">
        <v>212</v>
      </c>
      <c r="G105" s="34"/>
      <c r="H105" s="75">
        <v>46.947000000000003</v>
      </c>
      <c r="I105" s="75">
        <v>42.71</v>
      </c>
      <c r="J105" s="75">
        <v>42.71</v>
      </c>
      <c r="K105" s="112">
        <v>38.743000000000002</v>
      </c>
      <c r="L105" s="112">
        <v>39.549999999999997</v>
      </c>
      <c r="M105" s="75">
        <v>45.996000000000002</v>
      </c>
      <c r="N105" s="75">
        <v>45.660000000000004</v>
      </c>
      <c r="O105" s="75">
        <v>46.151999999999987</v>
      </c>
      <c r="P105" s="75">
        <v>46.896000000000015</v>
      </c>
      <c r="Q105" s="75">
        <v>44.460000000000008</v>
      </c>
      <c r="R105" s="75">
        <v>45.03600000000003</v>
      </c>
      <c r="S105" s="75">
        <v>44.411999999999921</v>
      </c>
      <c r="T105" s="75">
        <v>46.30800000000005</v>
      </c>
      <c r="U105" s="75">
        <v>46.571999999999946</v>
      </c>
      <c r="V105" s="75">
        <v>49.404000000000053</v>
      </c>
      <c r="W105" s="75">
        <v>51.023999999999944</v>
      </c>
      <c r="X105" s="75">
        <v>50.90400000000011</v>
      </c>
      <c r="Y105" s="75">
        <v>46.902000000000008</v>
      </c>
      <c r="Z105" s="34"/>
      <c r="AA105" s="75">
        <v>38.743000000000002</v>
      </c>
      <c r="AB105" s="76">
        <v>8.16</v>
      </c>
      <c r="AC105" s="34"/>
      <c r="AD105" s="75">
        <v>39.549999999999997</v>
      </c>
      <c r="AE105" s="76">
        <v>7.35</v>
      </c>
    </row>
    <row r="106" spans="1:31" ht="18" hidden="1" customHeight="1" outlineLevel="1" collapsed="1" x14ac:dyDescent="0.2">
      <c r="A106" s="35"/>
      <c r="B106" s="35"/>
      <c r="C106" s="4"/>
      <c r="D106" s="4"/>
      <c r="F106" s="97" t="s">
        <v>240</v>
      </c>
      <c r="H106" s="74">
        <v>8.1170000000000044</v>
      </c>
      <c r="I106" s="74">
        <v>6.0720000000000027</v>
      </c>
      <c r="J106" s="74">
        <v>6.0720000000000027</v>
      </c>
      <c r="K106" s="112">
        <v>0</v>
      </c>
      <c r="L106" s="112">
        <v>0</v>
      </c>
      <c r="M106" s="74">
        <v>8.8800000000000026</v>
      </c>
      <c r="N106" s="74">
        <v>8.004000000000012</v>
      </c>
      <c r="O106" s="74">
        <v>6.0479999999999734</v>
      </c>
      <c r="P106" s="74">
        <v>6.9840000000000373</v>
      </c>
      <c r="Q106" s="74">
        <v>5.2559999999999718</v>
      </c>
      <c r="R106" s="74">
        <v>4.8240000000000407</v>
      </c>
      <c r="S106" s="74">
        <v>5.5679999999999268</v>
      </c>
      <c r="T106" s="74">
        <v>7.9920000000000755</v>
      </c>
      <c r="U106" s="74">
        <v>5.7959999999999354</v>
      </c>
      <c r="V106" s="74">
        <v>7.3080000000000496</v>
      </c>
      <c r="W106" s="74">
        <v>7.6199999999999477</v>
      </c>
      <c r="X106" s="74">
        <v>6.4200000000000728</v>
      </c>
      <c r="Y106" s="74">
        <v>6.7250000000000085</v>
      </c>
      <c r="AA106" s="74">
        <v>0</v>
      </c>
      <c r="AB106" s="73">
        <v>6.73</v>
      </c>
      <c r="AD106" s="74">
        <v>0</v>
      </c>
      <c r="AE106" s="73">
        <v>6.73</v>
      </c>
    </row>
    <row r="107" spans="1:31" ht="12.95" hidden="1" customHeight="1" outlineLevel="1" x14ac:dyDescent="0.2">
      <c r="A107" s="35"/>
      <c r="B107" s="35"/>
      <c r="C107" s="4"/>
      <c r="D107" s="4"/>
      <c r="F107" s="39" t="s">
        <v>37</v>
      </c>
      <c r="H107" s="68">
        <v>0.17289709672609546</v>
      </c>
      <c r="I107" s="68">
        <v>0.14216811051276054</v>
      </c>
      <c r="J107" s="68">
        <v>0.14216811051276054</v>
      </c>
      <c r="K107" s="113">
        <v>0</v>
      </c>
      <c r="L107" s="113">
        <v>0</v>
      </c>
      <c r="M107" s="68">
        <v>0.19306026611009658</v>
      </c>
      <c r="N107" s="68">
        <v>0.17529566360052587</v>
      </c>
      <c r="O107" s="68">
        <v>0.13104524180967184</v>
      </c>
      <c r="P107" s="68">
        <v>0.14892528147390044</v>
      </c>
      <c r="Q107" s="68">
        <v>0.11821862348178072</v>
      </c>
      <c r="R107" s="68">
        <v>0.1071143085531583</v>
      </c>
      <c r="S107" s="68">
        <v>0.12537152121048223</v>
      </c>
      <c r="T107" s="68">
        <v>0.17258357087328469</v>
      </c>
      <c r="U107" s="68">
        <v>0.12445246070600237</v>
      </c>
      <c r="V107" s="68">
        <v>0.14792324508137078</v>
      </c>
      <c r="W107" s="68">
        <v>0.14934148635935943</v>
      </c>
      <c r="X107" s="68">
        <v>0.12611975483262727</v>
      </c>
      <c r="Y107" s="68">
        <v>0.1433840774380625</v>
      </c>
      <c r="AA107" s="68">
        <v>0</v>
      </c>
      <c r="AB107" s="69"/>
      <c r="AD107" s="68">
        <v>0</v>
      </c>
      <c r="AE107" s="69"/>
    </row>
    <row r="108" spans="1:31" ht="18" customHeight="1" collapsed="1" x14ac:dyDescent="0.2">
      <c r="A108" s="30" t="s">
        <v>220</v>
      </c>
      <c r="B108" s="30" t="s">
        <v>18</v>
      </c>
      <c r="C108" s="4">
        <v>1.1955833758412072E-2</v>
      </c>
      <c r="D108" s="4">
        <v>-2.5524627251940331E-2</v>
      </c>
      <c r="F108" s="106" t="s">
        <v>66</v>
      </c>
      <c r="H108" s="61">
        <v>-1841.546</v>
      </c>
      <c r="I108" s="61">
        <v>-1805.5239999999999</v>
      </c>
      <c r="J108" s="61">
        <v>-1805.5239999999999</v>
      </c>
      <c r="K108" s="86">
        <v>-1896.98188</v>
      </c>
      <c r="L108" s="86">
        <v>-1827.6466700000001</v>
      </c>
      <c r="M108" s="61">
        <v>-147.80000000000001</v>
      </c>
      <c r="N108" s="61">
        <v>-148.51</v>
      </c>
      <c r="O108" s="61">
        <v>-158.05099999999999</v>
      </c>
      <c r="P108" s="61">
        <v>-157.06899999999996</v>
      </c>
      <c r="Q108" s="61">
        <v>-150.5920000000001</v>
      </c>
      <c r="R108" s="61">
        <v>-188.06299999999999</v>
      </c>
      <c r="S108" s="61">
        <v>-148.93599999999992</v>
      </c>
      <c r="T108" s="61">
        <v>-141.95800000000008</v>
      </c>
      <c r="U108" s="61">
        <v>-173.50399999999991</v>
      </c>
      <c r="V108" s="61">
        <v>-170.26</v>
      </c>
      <c r="W108" s="61">
        <v>-110.34000000000015</v>
      </c>
      <c r="X108" s="61">
        <v>-179.21499999999992</v>
      </c>
      <c r="Y108" s="61">
        <v>-1874.298</v>
      </c>
      <c r="AA108" s="61">
        <v>-1896.98188</v>
      </c>
      <c r="AB108" s="60">
        <v>22.68</v>
      </c>
      <c r="AD108" s="61">
        <v>-1827.6466700000001</v>
      </c>
      <c r="AE108" s="60">
        <v>-46.65</v>
      </c>
    </row>
    <row r="109" spans="1:31" ht="18" customHeight="1" x14ac:dyDescent="0.2">
      <c r="A109" s="30" t="s">
        <v>218</v>
      </c>
      <c r="B109" s="30" t="s">
        <v>18</v>
      </c>
      <c r="C109" s="4">
        <v>-0.9997808699463131</v>
      </c>
      <c r="D109" s="4">
        <v>-0.9997808699463131</v>
      </c>
      <c r="F109" s="104" t="s">
        <v>219</v>
      </c>
      <c r="G109" s="36"/>
      <c r="H109" s="65">
        <v>-1.5669999999999999</v>
      </c>
      <c r="I109" s="65">
        <v>-4.7249999999999996</v>
      </c>
      <c r="J109" s="65">
        <v>-4.7249999999999996</v>
      </c>
      <c r="K109" s="65">
        <v>0</v>
      </c>
      <c r="L109" s="65">
        <v>0</v>
      </c>
      <c r="M109" s="65">
        <v>-8.0190000000000001</v>
      </c>
      <c r="N109" s="65">
        <v>-12.65</v>
      </c>
      <c r="O109" s="65">
        <v>-9.213000000000001</v>
      </c>
      <c r="P109" s="65">
        <v>-1.3249999999999993</v>
      </c>
      <c r="Q109" s="65">
        <v>11.117000000000001</v>
      </c>
      <c r="R109" s="65">
        <v>4.4139999999999997</v>
      </c>
      <c r="S109" s="65">
        <v>8.9379999999999988</v>
      </c>
      <c r="T109" s="65">
        <v>38.460999999999999</v>
      </c>
      <c r="U109" s="65">
        <v>-15.888999999999999</v>
      </c>
      <c r="V109" s="65">
        <v>-4.3179999999999996</v>
      </c>
      <c r="W109" s="65">
        <v>-16.097000000000001</v>
      </c>
      <c r="X109" s="65">
        <v>-13.673</v>
      </c>
      <c r="Y109" s="65">
        <v>-18.254000000000001</v>
      </c>
      <c r="Z109" s="36"/>
      <c r="AA109" s="65">
        <v>0</v>
      </c>
      <c r="AB109" s="60">
        <v>-18.25</v>
      </c>
      <c r="AC109" s="36"/>
      <c r="AD109" s="65">
        <v>0</v>
      </c>
      <c r="AE109" s="60">
        <v>-18.25</v>
      </c>
    </row>
    <row r="110" spans="1:31" ht="18" customHeight="1" x14ac:dyDescent="0.2">
      <c r="A110" s="30" t="s">
        <v>34</v>
      </c>
      <c r="B110" s="30" t="s">
        <v>18</v>
      </c>
      <c r="C110" s="4">
        <v>0</v>
      </c>
      <c r="D110" s="4">
        <v>0</v>
      </c>
      <c r="F110" s="106" t="s">
        <v>57</v>
      </c>
      <c r="H110" s="61">
        <v>0</v>
      </c>
      <c r="I110" s="61">
        <v>0</v>
      </c>
      <c r="J110" s="61">
        <v>0</v>
      </c>
      <c r="K110" s="86">
        <v>0</v>
      </c>
      <c r="L110" s="86">
        <v>0</v>
      </c>
      <c r="M110" s="61">
        <v>0</v>
      </c>
      <c r="N110" s="61">
        <v>0</v>
      </c>
      <c r="O110" s="61">
        <v>0</v>
      </c>
      <c r="P110" s="61">
        <v>0</v>
      </c>
      <c r="Q110" s="61">
        <v>0</v>
      </c>
      <c r="R110" s="61">
        <v>0</v>
      </c>
      <c r="S110" s="61">
        <v>0</v>
      </c>
      <c r="T110" s="61">
        <v>0</v>
      </c>
      <c r="U110" s="61">
        <v>0</v>
      </c>
      <c r="V110" s="61">
        <v>0</v>
      </c>
      <c r="W110" s="61">
        <v>0</v>
      </c>
      <c r="X110" s="61">
        <v>0</v>
      </c>
      <c r="Y110" s="61">
        <v>0</v>
      </c>
      <c r="AA110" s="61">
        <v>0</v>
      </c>
      <c r="AB110" s="60">
        <v>0</v>
      </c>
      <c r="AD110" s="61">
        <v>0</v>
      </c>
      <c r="AE110" s="60">
        <v>0</v>
      </c>
    </row>
    <row r="111" spans="1:31" ht="18" customHeight="1" x14ac:dyDescent="0.2">
      <c r="A111" s="30" t="s">
        <v>221</v>
      </c>
      <c r="B111" s="30" t="s">
        <v>18</v>
      </c>
      <c r="C111" s="4">
        <v>1.0000943485234455</v>
      </c>
      <c r="D111" s="4">
        <v>0.56342182890855452</v>
      </c>
      <c r="F111" s="106" t="s">
        <v>379</v>
      </c>
      <c r="H111" s="61">
        <v>3.1819999999999999</v>
      </c>
      <c r="I111" s="61">
        <v>9.7170000000000005</v>
      </c>
      <c r="J111" s="61">
        <v>9.7170000000000005</v>
      </c>
      <c r="K111" s="86">
        <v>0</v>
      </c>
      <c r="L111" s="86">
        <v>6.78</v>
      </c>
      <c r="M111" s="61">
        <v>0.22600000000000001</v>
      </c>
      <c r="N111" s="61">
        <v>0.32700000000000007</v>
      </c>
      <c r="O111" s="61">
        <v>1.278</v>
      </c>
      <c r="P111" s="61">
        <v>0.41400000000000015</v>
      </c>
      <c r="Q111" s="61">
        <v>1.9359999999999999</v>
      </c>
      <c r="R111" s="61">
        <v>1.0209999999999999</v>
      </c>
      <c r="S111" s="61">
        <v>0</v>
      </c>
      <c r="T111" s="61">
        <v>1.1239999999999997</v>
      </c>
      <c r="U111" s="61">
        <v>0.20800000000000018</v>
      </c>
      <c r="V111" s="61">
        <v>0.24800000000000022</v>
      </c>
      <c r="W111" s="61">
        <v>0</v>
      </c>
      <c r="X111" s="61">
        <v>3.8170000000000002</v>
      </c>
      <c r="Y111" s="61">
        <v>10.599</v>
      </c>
      <c r="AA111" s="61">
        <v>0</v>
      </c>
      <c r="AB111" s="60">
        <v>10.6</v>
      </c>
      <c r="AD111" s="61">
        <v>6.78</v>
      </c>
      <c r="AE111" s="60">
        <v>3.82</v>
      </c>
    </row>
    <row r="112" spans="1:31" ht="18" customHeight="1" x14ac:dyDescent="0.2">
      <c r="A112" s="30" t="s">
        <v>430</v>
      </c>
      <c r="B112" s="30" t="s">
        <v>18</v>
      </c>
      <c r="C112" s="4">
        <v>0</v>
      </c>
      <c r="D112" s="4">
        <v>0</v>
      </c>
      <c r="F112" s="106" t="s">
        <v>431</v>
      </c>
      <c r="H112" s="61">
        <v>-2.5579999999999998</v>
      </c>
      <c r="I112" s="61">
        <v>-0.52700000000000002</v>
      </c>
      <c r="J112" s="61">
        <v>-0.52700000000000002</v>
      </c>
      <c r="K112" s="86">
        <v>0</v>
      </c>
      <c r="L112" s="86">
        <v>0</v>
      </c>
      <c r="M112" s="61">
        <v>0</v>
      </c>
      <c r="N112" s="61">
        <v>0</v>
      </c>
      <c r="O112" s="61">
        <v>0</v>
      </c>
      <c r="P112" s="61">
        <v>0</v>
      </c>
      <c r="Q112" s="61">
        <v>0</v>
      </c>
      <c r="R112" s="61">
        <v>0</v>
      </c>
      <c r="S112" s="61">
        <v>0</v>
      </c>
      <c r="T112" s="61">
        <v>0</v>
      </c>
      <c r="U112" s="61">
        <v>0</v>
      </c>
      <c r="V112" s="61">
        <v>0</v>
      </c>
      <c r="W112" s="61">
        <v>0</v>
      </c>
      <c r="X112" s="61">
        <v>0</v>
      </c>
      <c r="Y112" s="61">
        <v>0</v>
      </c>
      <c r="AA112" s="61">
        <v>0</v>
      </c>
      <c r="AB112" s="60">
        <v>0</v>
      </c>
      <c r="AD112" s="61">
        <v>0</v>
      </c>
      <c r="AE112" s="60">
        <v>0</v>
      </c>
    </row>
    <row r="113" spans="1:31" ht="18" customHeight="1" x14ac:dyDescent="0.2">
      <c r="A113" s="30" t="s">
        <v>35</v>
      </c>
      <c r="B113" s="30" t="s">
        <v>18</v>
      </c>
      <c r="C113" s="4">
        <v>-1</v>
      </c>
      <c r="D113" s="4">
        <v>-6.3609467455621294E-2</v>
      </c>
      <c r="F113" s="106" t="s">
        <v>67</v>
      </c>
      <c r="H113" s="61">
        <v>-0.23799999999999999</v>
      </c>
      <c r="I113" s="61">
        <v>-4.8949999999999996</v>
      </c>
      <c r="J113" s="61">
        <v>-4.8949999999999996</v>
      </c>
      <c r="K113" s="86">
        <v>0</v>
      </c>
      <c r="L113" s="86">
        <v>-6.76</v>
      </c>
      <c r="M113" s="61">
        <v>-0.52600000000000002</v>
      </c>
      <c r="N113" s="61">
        <v>-0.86099999999999999</v>
      </c>
      <c r="O113" s="61">
        <v>-0.65700000000000003</v>
      </c>
      <c r="P113" s="61">
        <v>-0.60999999999999988</v>
      </c>
      <c r="Q113" s="61">
        <v>5.8999999999999719E-2</v>
      </c>
      <c r="R113" s="61">
        <v>-0.9009999999999998</v>
      </c>
      <c r="S113" s="61">
        <v>-0.504</v>
      </c>
      <c r="T113" s="61">
        <v>-0.50300000000000011</v>
      </c>
      <c r="U113" s="61">
        <v>-0.60700000000000021</v>
      </c>
      <c r="V113" s="61">
        <v>-0.53499999999999925</v>
      </c>
      <c r="W113" s="61">
        <v>-0.53000000000000025</v>
      </c>
      <c r="X113" s="61">
        <v>-1.0150000000000006</v>
      </c>
      <c r="Y113" s="61">
        <v>-7.19</v>
      </c>
      <c r="AA113" s="61">
        <v>0</v>
      </c>
      <c r="AB113" s="60">
        <v>-7.19</v>
      </c>
      <c r="AD113" s="61">
        <v>-6.7600000000000007</v>
      </c>
      <c r="AE113" s="60">
        <v>-0.43</v>
      </c>
    </row>
    <row r="114" spans="1:31" ht="18" hidden="1" customHeight="1" outlineLevel="1" collapsed="1" x14ac:dyDescent="0.2">
      <c r="A114" s="35"/>
      <c r="B114" s="35"/>
      <c r="C114" s="4"/>
      <c r="D114" s="4"/>
      <c r="F114" s="97" t="s">
        <v>453</v>
      </c>
      <c r="H114" s="74">
        <v>0.52659090909090911</v>
      </c>
      <c r="I114" s="74">
        <v>0</v>
      </c>
      <c r="J114" s="74">
        <v>0</v>
      </c>
      <c r="K114" s="112">
        <v>0</v>
      </c>
      <c r="L114" s="112">
        <v>0.10227272727272728</v>
      </c>
      <c r="M114" s="74">
        <v>0</v>
      </c>
      <c r="N114" s="74">
        <v>0</v>
      </c>
      <c r="O114" s="74">
        <v>0.29454545454545455</v>
      </c>
      <c r="P114" s="74">
        <v>0</v>
      </c>
      <c r="Q114" s="74">
        <v>0</v>
      </c>
      <c r="R114" s="74">
        <v>6.5454545454545505E-3</v>
      </c>
      <c r="S114" s="74">
        <v>0</v>
      </c>
      <c r="T114" s="74">
        <v>0</v>
      </c>
      <c r="U114" s="74">
        <v>0</v>
      </c>
      <c r="V114" s="74">
        <v>0.92727272727272703</v>
      </c>
      <c r="W114" s="74">
        <v>0.63763636363636367</v>
      </c>
      <c r="X114" s="74">
        <v>-0.37445454545454526</v>
      </c>
      <c r="Y114" s="74">
        <v>0.12429545454545456</v>
      </c>
      <c r="AA114" s="74">
        <v>0</v>
      </c>
      <c r="AB114" s="73">
        <v>0.12</v>
      </c>
      <c r="AD114" s="74">
        <v>0.10227272727272728</v>
      </c>
      <c r="AE114" s="73">
        <v>0.02</v>
      </c>
    </row>
    <row r="115" spans="1:31" ht="18" customHeight="1" collapsed="1" x14ac:dyDescent="0.2">
      <c r="A115" s="30" t="s">
        <v>20</v>
      </c>
      <c r="B115" s="30" t="s">
        <v>18</v>
      </c>
      <c r="C115" s="4">
        <v>-1.0001828487840554</v>
      </c>
      <c r="D115" s="4">
        <v>-0.21555555555555556</v>
      </c>
      <c r="F115" s="106" t="s">
        <v>68</v>
      </c>
      <c r="H115" s="61">
        <v>-23.17</v>
      </c>
      <c r="I115" s="61">
        <v>0</v>
      </c>
      <c r="J115" s="61">
        <v>0</v>
      </c>
      <c r="K115" s="86">
        <v>0</v>
      </c>
      <c r="L115" s="86">
        <v>-4.5</v>
      </c>
      <c r="M115" s="61">
        <v>0</v>
      </c>
      <c r="N115" s="61">
        <v>0</v>
      </c>
      <c r="O115" s="61">
        <v>-1.08</v>
      </c>
      <c r="P115" s="61">
        <v>0</v>
      </c>
      <c r="Q115" s="61">
        <v>0</v>
      </c>
      <c r="R115" s="61">
        <v>-2.4000000000000021E-2</v>
      </c>
      <c r="S115" s="61">
        <v>0</v>
      </c>
      <c r="T115" s="61">
        <v>0</v>
      </c>
      <c r="U115" s="61">
        <v>0</v>
      </c>
      <c r="V115" s="61">
        <v>-3.3999999999999995</v>
      </c>
      <c r="W115" s="61">
        <v>-2.3380000000000001</v>
      </c>
      <c r="X115" s="61">
        <v>1.3729999999999993</v>
      </c>
      <c r="Y115" s="61">
        <v>-5.4690000000000003</v>
      </c>
      <c r="AA115" s="61">
        <v>0</v>
      </c>
      <c r="AB115" s="60">
        <v>-5.47</v>
      </c>
      <c r="AD115" s="61">
        <v>-4.5</v>
      </c>
      <c r="AE115" s="60">
        <v>-0.97</v>
      </c>
    </row>
    <row r="116" spans="1:31" ht="18" customHeight="1" x14ac:dyDescent="0.2">
      <c r="A116" s="35"/>
      <c r="B116" s="35"/>
      <c r="C116" s="4">
        <v>1.2493529985642246E-3</v>
      </c>
      <c r="D116" s="4">
        <v>-3.4107903685502261E-2</v>
      </c>
      <c r="F116" s="95" t="s">
        <v>275</v>
      </c>
      <c r="H116" s="198">
        <v>-1865.8970000000002</v>
      </c>
      <c r="I116" s="198">
        <v>-1805.9539999999997</v>
      </c>
      <c r="J116" s="198">
        <v>-1805.9539999999997</v>
      </c>
      <c r="K116" s="89">
        <v>-1896.98188</v>
      </c>
      <c r="L116" s="89">
        <v>-1832.1266700000001</v>
      </c>
      <c r="M116" s="64">
        <v>-156.11900000000003</v>
      </c>
      <c r="N116" s="64">
        <v>-161.69399999999999</v>
      </c>
      <c r="O116" s="64">
        <v>-167.72300000000001</v>
      </c>
      <c r="P116" s="64">
        <v>-158.58999999999997</v>
      </c>
      <c r="Q116" s="64">
        <v>-137.4800000000001</v>
      </c>
      <c r="R116" s="64">
        <v>-183.55300000000003</v>
      </c>
      <c r="S116" s="64">
        <v>-140.50199999999992</v>
      </c>
      <c r="T116" s="64">
        <v>-102.87600000000009</v>
      </c>
      <c r="U116" s="64">
        <v>-189.79199999999992</v>
      </c>
      <c r="V116" s="64">
        <v>-178.26500000000001</v>
      </c>
      <c r="W116" s="64">
        <v>-129.30500000000015</v>
      </c>
      <c r="X116" s="64">
        <v>-188.71299999999991</v>
      </c>
      <c r="Y116" s="64">
        <v>-1894.6120000000001</v>
      </c>
      <c r="AA116" s="64">
        <v>-1896.98188</v>
      </c>
      <c r="AB116" s="60">
        <v>2.37</v>
      </c>
      <c r="AD116" s="64">
        <v>-1832.1266700000003</v>
      </c>
      <c r="AE116" s="60">
        <v>-62.49</v>
      </c>
    </row>
    <row r="117" spans="1:31" ht="12.95" customHeight="1" x14ac:dyDescent="0.2">
      <c r="A117" s="35"/>
      <c r="B117" s="35"/>
      <c r="C117" s="4"/>
      <c r="D117" s="4"/>
      <c r="F117" s="39" t="s">
        <v>223</v>
      </c>
      <c r="H117" s="56">
        <v>0.40249600124249996</v>
      </c>
      <c r="I117" s="56">
        <v>0.39063693395407106</v>
      </c>
      <c r="J117" s="56">
        <v>0.39063693395407106</v>
      </c>
      <c r="K117" s="109">
        <v>0.38344013567078405</v>
      </c>
      <c r="L117" s="109">
        <v>0.35993760268661484</v>
      </c>
      <c r="M117" s="56">
        <v>0.42406932051229818</v>
      </c>
      <c r="N117" s="56">
        <v>0.40962048533088791</v>
      </c>
      <c r="O117" s="56">
        <v>0.4061217423308725</v>
      </c>
      <c r="P117" s="56">
        <v>0.37052353183058556</v>
      </c>
      <c r="Q117" s="56">
        <v>0.30176254966087956</v>
      </c>
      <c r="R117" s="56">
        <v>0.42497974114977682</v>
      </c>
      <c r="S117" s="56">
        <v>0.33174585559698044</v>
      </c>
      <c r="T117" s="56">
        <v>0.22828359036946638</v>
      </c>
      <c r="U117" s="56">
        <v>0.45166203404028454</v>
      </c>
      <c r="V117" s="56">
        <v>0.40329349377747314</v>
      </c>
      <c r="W117" s="56">
        <v>0.28214606003609116</v>
      </c>
      <c r="X117" s="56">
        <v>0.40672482984253683</v>
      </c>
      <c r="Y117" s="56">
        <v>0.36788111064984413</v>
      </c>
      <c r="AA117" s="56">
        <v>0.38344013567078405</v>
      </c>
      <c r="AB117" s="57"/>
      <c r="AD117" s="56">
        <v>0.3599376026866149</v>
      </c>
      <c r="AE117" s="57"/>
    </row>
    <row r="118" spans="1:31" ht="6.95" customHeight="1" x14ac:dyDescent="0.2">
      <c r="C118" s="4"/>
      <c r="D118" s="4"/>
      <c r="F118" s="99"/>
      <c r="H118" s="16"/>
      <c r="I118" s="16"/>
      <c r="J118" s="16"/>
      <c r="K118" s="85"/>
      <c r="L118" s="85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AA118" s="16"/>
      <c r="AB118" s="20"/>
      <c r="AD118" s="16"/>
      <c r="AE118" s="20"/>
    </row>
    <row r="119" spans="1:31" ht="18" customHeight="1" x14ac:dyDescent="0.2">
      <c r="A119" s="30" t="s">
        <v>70</v>
      </c>
      <c r="B119" s="30" t="s">
        <v>18</v>
      </c>
      <c r="C119" s="4"/>
      <c r="D119" s="4"/>
      <c r="F119" s="97" t="s">
        <v>225</v>
      </c>
      <c r="H119" s="74">
        <v>43.64</v>
      </c>
      <c r="I119" s="74">
        <v>40.015000000000001</v>
      </c>
      <c r="J119" s="74">
        <v>40.015000000000001</v>
      </c>
      <c r="K119" s="112">
        <v>42</v>
      </c>
      <c r="L119" s="112">
        <v>46</v>
      </c>
      <c r="M119" s="74">
        <v>42.048000000000002</v>
      </c>
      <c r="N119" s="74">
        <v>40.99199999999999</v>
      </c>
      <c r="O119" s="74">
        <v>42.707999999999998</v>
      </c>
      <c r="P119" s="74">
        <v>43.44</v>
      </c>
      <c r="Q119" s="74">
        <v>43.836000000000013</v>
      </c>
      <c r="R119" s="74">
        <v>39.996000000000009</v>
      </c>
      <c r="S119" s="74">
        <v>38.003999999999991</v>
      </c>
      <c r="T119" s="74">
        <v>39</v>
      </c>
      <c r="U119" s="74">
        <v>37.043999999999983</v>
      </c>
      <c r="V119" s="74">
        <v>40.103999999999985</v>
      </c>
      <c r="W119" s="74">
        <v>44.796000000000049</v>
      </c>
      <c r="X119" s="74">
        <v>42.504000000000019</v>
      </c>
      <c r="Y119" s="74">
        <v>41.206000000000003</v>
      </c>
      <c r="AA119" s="74">
        <v>42</v>
      </c>
      <c r="AB119" s="73">
        <v>-0.79</v>
      </c>
      <c r="AD119" s="74">
        <v>46</v>
      </c>
      <c r="AE119" s="73">
        <v>-4.79</v>
      </c>
    </row>
    <row r="120" spans="1:31" ht="12.95" customHeight="1" x14ac:dyDescent="0.2">
      <c r="A120" s="35"/>
      <c r="B120" s="35"/>
      <c r="C120" s="4"/>
      <c r="D120" s="4"/>
      <c r="F120" s="39" t="s">
        <v>71</v>
      </c>
      <c r="H120" s="132">
        <v>-7288.7030247479379</v>
      </c>
      <c r="I120" s="132">
        <v>-7894.414594527052</v>
      </c>
      <c r="J120" s="132">
        <v>-7894.414594527052</v>
      </c>
      <c r="K120" s="133">
        <v>-8952.3809523809541</v>
      </c>
      <c r="L120" s="133">
        <v>-8802.173913043478</v>
      </c>
      <c r="M120" s="132">
        <v>-480.73630136986299</v>
      </c>
      <c r="N120" s="132">
        <v>-956.96721311475414</v>
      </c>
      <c r="O120" s="132">
        <v>-911.44516249882929</v>
      </c>
      <c r="P120" s="132">
        <v>-673.54972375690613</v>
      </c>
      <c r="Q120" s="132">
        <v>-663.6782553152658</v>
      </c>
      <c r="R120" s="132">
        <v>-969.84698469846978</v>
      </c>
      <c r="S120" s="132">
        <v>-852.51552468161231</v>
      </c>
      <c r="T120" s="132">
        <v>-513.64102564102575</v>
      </c>
      <c r="U120" s="132">
        <v>-929.1923118453733</v>
      </c>
      <c r="V120" s="132">
        <v>-1376.8701376421309</v>
      </c>
      <c r="W120" s="132">
        <v>-1432.4939726761299</v>
      </c>
      <c r="X120" s="132">
        <v>-1161.3024656502919</v>
      </c>
      <c r="Y120" s="132">
        <v>-10947.67752269087</v>
      </c>
      <c r="AA120" s="132">
        <v>-8952.3809523809541</v>
      </c>
      <c r="AB120" s="134">
        <v>-1995.3</v>
      </c>
      <c r="AD120" s="132">
        <v>-8802.173913043478</v>
      </c>
      <c r="AE120" s="134">
        <v>-2145.5</v>
      </c>
    </row>
    <row r="121" spans="1:31" ht="18" customHeight="1" x14ac:dyDescent="0.2">
      <c r="A121" s="30" t="s">
        <v>63</v>
      </c>
      <c r="B121" s="30" t="s">
        <v>18</v>
      </c>
      <c r="C121" s="4">
        <v>0.14896956886637036</v>
      </c>
      <c r="D121" s="4">
        <v>-7.3523645204297702E-2</v>
      </c>
      <c r="F121" s="106" t="s">
        <v>401</v>
      </c>
      <c r="H121" s="61">
        <v>-83.953999999999994</v>
      </c>
      <c r="I121" s="61">
        <v>-80.433999999999997</v>
      </c>
      <c r="J121" s="61">
        <v>-80.433999999999997</v>
      </c>
      <c r="K121" s="86">
        <v>-128.684</v>
      </c>
      <c r="L121" s="86">
        <v>-102.008</v>
      </c>
      <c r="M121" s="61">
        <v>-6.4649999999999999</v>
      </c>
      <c r="N121" s="61">
        <v>-9.011000000000001</v>
      </c>
      <c r="O121" s="61">
        <v>-8.6240000000000006</v>
      </c>
      <c r="P121" s="61">
        <v>-8.3419999999999987</v>
      </c>
      <c r="Q121" s="61">
        <v>-10.372999999999998</v>
      </c>
      <c r="R121" s="61">
        <v>-9.2600000000000051</v>
      </c>
      <c r="S121" s="61">
        <v>-7.867999999999995</v>
      </c>
      <c r="T121" s="61">
        <v>-7.311000000000007</v>
      </c>
      <c r="U121" s="61">
        <v>-8.5959999999999894</v>
      </c>
      <c r="V121" s="61">
        <v>-8.7830000000000013</v>
      </c>
      <c r="W121" s="61">
        <v>-12.320999999999998</v>
      </c>
      <c r="X121" s="61">
        <v>-12.556000000000012</v>
      </c>
      <c r="Y121" s="61">
        <v>-109.51</v>
      </c>
      <c r="AA121" s="61">
        <v>-128.684</v>
      </c>
      <c r="AB121" s="60">
        <v>19.170000000000002</v>
      </c>
      <c r="AD121" s="61">
        <v>-102.008</v>
      </c>
      <c r="AE121" s="60">
        <v>-7.5</v>
      </c>
    </row>
    <row r="122" spans="1:31" ht="18" customHeight="1" x14ac:dyDescent="0.2">
      <c r="A122" s="30" t="s">
        <v>148</v>
      </c>
      <c r="B122" s="30" t="s">
        <v>18</v>
      </c>
      <c r="C122" s="4">
        <v>-1.0004987531172069</v>
      </c>
      <c r="D122" s="4">
        <v>-1.0004987531172069</v>
      </c>
      <c r="F122" s="106" t="s">
        <v>149</v>
      </c>
      <c r="H122" s="61">
        <v>0</v>
      </c>
      <c r="I122" s="61">
        <v>-1.64</v>
      </c>
      <c r="J122" s="61">
        <v>-1.64</v>
      </c>
      <c r="K122" s="86">
        <v>0</v>
      </c>
      <c r="L122" s="86">
        <v>0</v>
      </c>
      <c r="M122" s="61">
        <v>0</v>
      </c>
      <c r="N122" s="61">
        <v>-0.2</v>
      </c>
      <c r="O122" s="61">
        <v>-8.9999999999999969E-2</v>
      </c>
      <c r="P122" s="61">
        <v>0</v>
      </c>
      <c r="Q122" s="61">
        <v>0</v>
      </c>
      <c r="R122" s="61">
        <v>0</v>
      </c>
      <c r="S122" s="61">
        <v>0</v>
      </c>
      <c r="T122" s="61">
        <v>0</v>
      </c>
      <c r="U122" s="61">
        <v>0</v>
      </c>
      <c r="V122" s="61">
        <v>0</v>
      </c>
      <c r="W122" s="61">
        <v>-5.1580000000000004</v>
      </c>
      <c r="X122" s="61">
        <v>-4.577</v>
      </c>
      <c r="Y122" s="61">
        <v>-10.025</v>
      </c>
      <c r="AA122" s="61">
        <v>0</v>
      </c>
      <c r="AB122" s="60">
        <v>-10.029999999999999</v>
      </c>
      <c r="AD122" s="61">
        <v>0</v>
      </c>
      <c r="AE122" s="60">
        <v>-10.029999999999999</v>
      </c>
    </row>
    <row r="123" spans="1:31" ht="18" customHeight="1" x14ac:dyDescent="0.2">
      <c r="A123" s="30" t="s">
        <v>64</v>
      </c>
      <c r="B123" s="30" t="s">
        <v>18</v>
      </c>
      <c r="C123" s="4">
        <v>-1.0427021278074754E-2</v>
      </c>
      <c r="D123" s="4">
        <v>-2.6264879901718517E-2</v>
      </c>
      <c r="F123" s="106" t="s">
        <v>202</v>
      </c>
      <c r="H123" s="61">
        <v>-104.277</v>
      </c>
      <c r="I123" s="61">
        <v>-126.223</v>
      </c>
      <c r="J123" s="61">
        <v>-126.223</v>
      </c>
      <c r="K123" s="86">
        <v>-143.857</v>
      </c>
      <c r="L123" s="86">
        <v>-141.63399999999999</v>
      </c>
      <c r="M123" s="61">
        <v>-9.452</v>
      </c>
      <c r="N123" s="61">
        <v>-13.237</v>
      </c>
      <c r="O123" s="61">
        <v>-11.337000000000003</v>
      </c>
      <c r="P123" s="61">
        <v>-13.269999999999996</v>
      </c>
      <c r="Q123" s="61">
        <v>-9.7800000000000011</v>
      </c>
      <c r="R123" s="61">
        <v>-11.898000000000003</v>
      </c>
      <c r="S123" s="61">
        <v>-13.203999999999994</v>
      </c>
      <c r="T123" s="61">
        <v>-5.2590000000000003</v>
      </c>
      <c r="U123" s="61">
        <v>-12.430000000000007</v>
      </c>
      <c r="V123" s="61">
        <v>-14.921999999999997</v>
      </c>
      <c r="W123" s="61">
        <v>-16.174999999999997</v>
      </c>
      <c r="X123" s="61">
        <v>-14.38900000000001</v>
      </c>
      <c r="Y123" s="61">
        <v>-145.35300000000001</v>
      </c>
      <c r="AA123" s="61">
        <v>-143.857</v>
      </c>
      <c r="AB123" s="60">
        <v>-1.5</v>
      </c>
      <c r="AD123" s="61">
        <v>-141.63399999999999</v>
      </c>
      <c r="AE123" s="60">
        <v>-3.72</v>
      </c>
    </row>
    <row r="124" spans="1:31" ht="18" hidden="1" customHeight="1" outlineLevel="1" x14ac:dyDescent="0.2">
      <c r="A124" s="30" t="s">
        <v>150</v>
      </c>
      <c r="B124" s="30" t="s">
        <v>18</v>
      </c>
      <c r="C124" s="4">
        <v>-17.239530132788563</v>
      </c>
      <c r="D124" s="4">
        <v>-0.66452051926298161</v>
      </c>
      <c r="F124" s="38" t="s">
        <v>151</v>
      </c>
      <c r="G124" s="34"/>
      <c r="H124" s="66">
        <v>-37.311</v>
      </c>
      <c r="I124" s="66">
        <v>-25.814</v>
      </c>
      <c r="J124" s="66">
        <v>-25.814</v>
      </c>
      <c r="K124" s="86">
        <v>3.9159999999999999</v>
      </c>
      <c r="L124" s="86">
        <v>-38.207999999999998</v>
      </c>
      <c r="M124" s="66">
        <v>-0.441</v>
      </c>
      <c r="N124" s="66">
        <v>-6.7629999999999999</v>
      </c>
      <c r="O124" s="66">
        <v>-0.55100000000000016</v>
      </c>
      <c r="P124" s="66">
        <v>-1.0889999999999995</v>
      </c>
      <c r="Q124" s="66">
        <v>-0.72799999999999976</v>
      </c>
      <c r="R124" s="66">
        <v>-6.4759999999999991</v>
      </c>
      <c r="S124" s="66">
        <v>-0.18300000000000338</v>
      </c>
      <c r="T124" s="66">
        <v>-3.6389999999999993</v>
      </c>
      <c r="U124" s="66">
        <v>-11.651999999999997</v>
      </c>
      <c r="V124" s="66">
        <v>-4.767000000000003</v>
      </c>
      <c r="W124" s="66">
        <v>-16.954999999999998</v>
      </c>
      <c r="X124" s="66">
        <v>-10.353000000000002</v>
      </c>
      <c r="Y124" s="66">
        <v>-63.597000000000001</v>
      </c>
      <c r="Z124" s="34"/>
      <c r="AA124" s="66">
        <v>3.9159999999999999</v>
      </c>
      <c r="AB124" s="60">
        <v>-67.510000000000005</v>
      </c>
      <c r="AC124" s="34"/>
      <c r="AD124" s="66">
        <v>-38.207999999999998</v>
      </c>
      <c r="AE124" s="60">
        <v>-25.39</v>
      </c>
    </row>
    <row r="125" spans="1:31" ht="18" hidden="1" customHeight="1" outlineLevel="1" x14ac:dyDescent="0.2">
      <c r="A125" s="30" t="s">
        <v>168</v>
      </c>
      <c r="B125" s="30" t="s">
        <v>18</v>
      </c>
      <c r="C125" s="4">
        <v>3.2238106092676418E-2</v>
      </c>
      <c r="D125" s="4">
        <v>5.5311844363913794E-2</v>
      </c>
      <c r="F125" s="38" t="s">
        <v>169</v>
      </c>
      <c r="G125" s="34"/>
      <c r="H125" s="66">
        <v>-27.802</v>
      </c>
      <c r="I125" s="66">
        <v>-28.187000000000001</v>
      </c>
      <c r="J125" s="66">
        <v>-28.187000000000001</v>
      </c>
      <c r="K125" s="86">
        <v>-30.709</v>
      </c>
      <c r="L125" s="86">
        <v>-31.457999999999998</v>
      </c>
      <c r="M125" s="66">
        <v>-1.6659999999999999</v>
      </c>
      <c r="N125" s="66">
        <v>-2.2389999999999999</v>
      </c>
      <c r="O125" s="66">
        <v>-2.1739999999999999</v>
      </c>
      <c r="P125" s="66">
        <v>-2.3110000000000008</v>
      </c>
      <c r="Q125" s="66">
        <v>-2.8869999999999987</v>
      </c>
      <c r="R125" s="66">
        <v>-2.2780000000000005</v>
      </c>
      <c r="S125" s="66">
        <v>-2.0140000000000011</v>
      </c>
      <c r="T125" s="66">
        <v>-1.956999999999999</v>
      </c>
      <c r="U125" s="66">
        <v>-2.1170000000000009</v>
      </c>
      <c r="V125" s="66">
        <v>-2.1340000000000003</v>
      </c>
      <c r="W125" s="66">
        <v>-3.1489999999999974</v>
      </c>
      <c r="X125" s="66">
        <v>-4.7930000000000028</v>
      </c>
      <c r="Y125" s="66">
        <v>-29.719000000000001</v>
      </c>
      <c r="Z125" s="34"/>
      <c r="AA125" s="66">
        <v>-30.709</v>
      </c>
      <c r="AB125" s="60">
        <v>0.99</v>
      </c>
      <c r="AC125" s="34"/>
      <c r="AD125" s="66">
        <v>-31.457999999999998</v>
      </c>
      <c r="AE125" s="60">
        <v>1.74</v>
      </c>
    </row>
    <row r="126" spans="1:31" ht="18" hidden="1" customHeight="1" outlineLevel="1" x14ac:dyDescent="0.2">
      <c r="A126" s="30" t="s">
        <v>170</v>
      </c>
      <c r="B126" s="30" t="s">
        <v>18</v>
      </c>
      <c r="C126" s="4">
        <v>-0.20509977827050996</v>
      </c>
      <c r="D126" s="4">
        <v>7.4531516183986374E-2</v>
      </c>
      <c r="F126" s="38" t="s">
        <v>171</v>
      </c>
      <c r="G126" s="34"/>
      <c r="H126" s="66">
        <v>-7.6929999999999996</v>
      </c>
      <c r="I126" s="66">
        <v>-9.1549999999999994</v>
      </c>
      <c r="J126" s="66">
        <v>-9.1549999999999994</v>
      </c>
      <c r="K126" s="86">
        <v>-7.2160000000000002</v>
      </c>
      <c r="L126" s="86">
        <v>-9.3919999999999995</v>
      </c>
      <c r="M126" s="66">
        <v>-0.33500000000000002</v>
      </c>
      <c r="N126" s="66">
        <v>-1.056</v>
      </c>
      <c r="O126" s="66">
        <v>-0.64500000000000002</v>
      </c>
      <c r="P126" s="66">
        <v>-1.0339999999999998</v>
      </c>
      <c r="Q126" s="66">
        <v>-0.79300000000000015</v>
      </c>
      <c r="R126" s="66">
        <v>-0.99299999999999988</v>
      </c>
      <c r="S126" s="66">
        <v>-0.69399999999999995</v>
      </c>
      <c r="T126" s="66">
        <v>0</v>
      </c>
      <c r="U126" s="66">
        <v>-1.87</v>
      </c>
      <c r="V126" s="66">
        <v>-0.17600000000000016</v>
      </c>
      <c r="W126" s="66">
        <v>-0.73000000000000043</v>
      </c>
      <c r="X126" s="66">
        <v>-0.36999999999999922</v>
      </c>
      <c r="Y126" s="66">
        <v>-8.6959999999999997</v>
      </c>
      <c r="Z126" s="34"/>
      <c r="AA126" s="66">
        <v>-7.2160000000000002</v>
      </c>
      <c r="AB126" s="60">
        <v>-1.48</v>
      </c>
      <c r="AC126" s="34"/>
      <c r="AD126" s="66">
        <v>-9.3919999999999995</v>
      </c>
      <c r="AE126" s="60">
        <v>0.7</v>
      </c>
    </row>
    <row r="127" spans="1:31" ht="18" customHeight="1" collapsed="1" x14ac:dyDescent="0.2">
      <c r="A127" s="35"/>
      <c r="B127" s="35"/>
      <c r="C127" s="4">
        <v>-1.9994707283366167</v>
      </c>
      <c r="D127" s="4">
        <v>-0.29029320245895418</v>
      </c>
      <c r="F127" s="106" t="s">
        <v>151</v>
      </c>
      <c r="H127" s="61">
        <v>-72.805999999999997</v>
      </c>
      <c r="I127" s="61">
        <v>-63.156000000000006</v>
      </c>
      <c r="J127" s="61">
        <v>-63.156000000000006</v>
      </c>
      <c r="K127" s="86">
        <v>-34.009</v>
      </c>
      <c r="L127" s="86">
        <v>-79.057999999999993</v>
      </c>
      <c r="M127" s="61">
        <v>-2.4419999999999997</v>
      </c>
      <c r="N127" s="61">
        <v>-10.058</v>
      </c>
      <c r="O127" s="61">
        <v>-3.37</v>
      </c>
      <c r="P127" s="61">
        <v>-4.4340000000000002</v>
      </c>
      <c r="Q127" s="61">
        <v>-4.4079999999999986</v>
      </c>
      <c r="R127" s="61">
        <v>-9.7469999999999999</v>
      </c>
      <c r="S127" s="61">
        <v>-2.8910000000000045</v>
      </c>
      <c r="T127" s="61">
        <v>-5.5959999999999983</v>
      </c>
      <c r="U127" s="61">
        <v>-15.638999999999999</v>
      </c>
      <c r="V127" s="61">
        <v>-7.0770000000000035</v>
      </c>
      <c r="W127" s="61">
        <v>-20.833999999999996</v>
      </c>
      <c r="X127" s="61">
        <v>-15.516000000000004</v>
      </c>
      <c r="Y127" s="61">
        <v>-102.012</v>
      </c>
      <c r="AA127" s="61">
        <v>-34.009</v>
      </c>
      <c r="AB127" s="60">
        <v>-68</v>
      </c>
      <c r="AD127" s="61">
        <v>-79.057999999999993</v>
      </c>
      <c r="AE127" s="60">
        <v>-22.95</v>
      </c>
    </row>
    <row r="128" spans="1:31" ht="18" customHeight="1" collapsed="1" x14ac:dyDescent="0.2">
      <c r="A128" s="30" t="s">
        <v>146</v>
      </c>
      <c r="B128" s="30" t="s">
        <v>18</v>
      </c>
      <c r="C128" s="4">
        <v>-0.15931869532472048</v>
      </c>
      <c r="D128" s="4">
        <v>-0.13177242393394414</v>
      </c>
      <c r="F128" s="106" t="s">
        <v>147</v>
      </c>
      <c r="H128" s="61">
        <v>-20.856999999999999</v>
      </c>
      <c r="I128" s="61">
        <v>-12.073</v>
      </c>
      <c r="J128" s="61">
        <v>-12.073</v>
      </c>
      <c r="K128" s="86">
        <v>-17.260999999999999</v>
      </c>
      <c r="L128" s="86">
        <v>-17.681999999999999</v>
      </c>
      <c r="M128" s="61">
        <v>-0.50900000000000001</v>
      </c>
      <c r="N128" s="61">
        <v>-2.5089999999999999</v>
      </c>
      <c r="O128" s="61">
        <v>-2.5090000000000003</v>
      </c>
      <c r="P128" s="61">
        <v>-2.508</v>
      </c>
      <c r="Q128" s="61">
        <v>-0.50999999999999979</v>
      </c>
      <c r="R128" s="61">
        <v>-0.66900000000000048</v>
      </c>
      <c r="S128" s="61">
        <v>-0.53699999999999903</v>
      </c>
      <c r="T128" s="61">
        <v>-0.53500000000000014</v>
      </c>
      <c r="U128" s="61">
        <v>-0.53599999999999959</v>
      </c>
      <c r="V128" s="61">
        <v>-6.3949999999999996</v>
      </c>
      <c r="W128" s="61">
        <v>-2.7630000000000017</v>
      </c>
      <c r="X128" s="61">
        <v>-3.0000000000001137E-2</v>
      </c>
      <c r="Y128" s="61">
        <v>-20.010000000000002</v>
      </c>
      <c r="AA128" s="61">
        <v>-17.260999999999999</v>
      </c>
      <c r="AB128" s="60">
        <v>-2.75</v>
      </c>
      <c r="AD128" s="61">
        <v>-17.681999999999999</v>
      </c>
      <c r="AE128" s="60">
        <v>-2.33</v>
      </c>
    </row>
    <row r="129" spans="1:31" ht="18" hidden="1" customHeight="1" outlineLevel="1" x14ac:dyDescent="0.2">
      <c r="A129" s="30" t="s">
        <v>154</v>
      </c>
      <c r="B129" s="30" t="s">
        <v>18</v>
      </c>
      <c r="C129" s="4">
        <v>-0.84655854602374014</v>
      </c>
      <c r="D129" s="4">
        <v>1.7808409269623942E-2</v>
      </c>
      <c r="F129" s="38" t="s">
        <v>155</v>
      </c>
      <c r="G129" s="34"/>
      <c r="H129" s="66">
        <v>-17.204999999999998</v>
      </c>
      <c r="I129" s="66">
        <v>-12.863</v>
      </c>
      <c r="J129" s="66">
        <v>-12.863</v>
      </c>
      <c r="K129" s="86">
        <v>-22.998999999999999</v>
      </c>
      <c r="L129" s="86">
        <v>-43.238</v>
      </c>
      <c r="M129" s="66">
        <v>0</v>
      </c>
      <c r="N129" s="66">
        <v>-2.145</v>
      </c>
      <c r="O129" s="66">
        <v>-4.9079999999999995</v>
      </c>
      <c r="P129" s="66">
        <v>-8.8817841970012523E-16</v>
      </c>
      <c r="Q129" s="66">
        <v>-2.0000000000000009</v>
      </c>
      <c r="R129" s="66">
        <v>-7.879999999999999</v>
      </c>
      <c r="S129" s="66">
        <v>-4</v>
      </c>
      <c r="T129" s="66">
        <v>-0.6039999999999992</v>
      </c>
      <c r="U129" s="66">
        <v>4</v>
      </c>
      <c r="V129" s="66">
        <v>-18.183999999999997</v>
      </c>
      <c r="W129" s="66">
        <v>-6.0670000000000002</v>
      </c>
      <c r="X129" s="66">
        <v>-0.67600000000000193</v>
      </c>
      <c r="Y129" s="66">
        <v>-42.463999999999999</v>
      </c>
      <c r="Z129" s="34"/>
      <c r="AA129" s="66">
        <v>-22.998999999999999</v>
      </c>
      <c r="AB129" s="60">
        <v>-19.47</v>
      </c>
      <c r="AC129" s="34"/>
      <c r="AD129" s="66">
        <v>-43.238</v>
      </c>
      <c r="AE129" s="60">
        <v>0.77</v>
      </c>
    </row>
    <row r="130" spans="1:31" ht="18" hidden="1" customHeight="1" outlineLevel="1" x14ac:dyDescent="0.2">
      <c r="A130" s="30" t="s">
        <v>156</v>
      </c>
      <c r="B130" s="30" t="s">
        <v>18</v>
      </c>
      <c r="C130" s="4">
        <v>0.20535807359532993</v>
      </c>
      <c r="D130" s="4">
        <v>0.23911741214057508</v>
      </c>
      <c r="F130" s="38" t="s">
        <v>157</v>
      </c>
      <c r="G130" s="34"/>
      <c r="H130" s="66">
        <v>-13.513999999999999</v>
      </c>
      <c r="I130" s="66">
        <v>-15.811</v>
      </c>
      <c r="J130" s="66">
        <v>-15.811</v>
      </c>
      <c r="K130" s="86">
        <v>-19.186</v>
      </c>
      <c r="L130" s="86">
        <v>-20.032</v>
      </c>
      <c r="M130" s="66">
        <v>-1.1000000000000001</v>
      </c>
      <c r="N130" s="66">
        <v>-1.1000000000000001</v>
      </c>
      <c r="O130" s="66">
        <v>-8.1179999999999986</v>
      </c>
      <c r="P130" s="66">
        <v>-1.7763568394002505E-15</v>
      </c>
      <c r="Q130" s="66">
        <v>0</v>
      </c>
      <c r="R130" s="66">
        <v>1.0999999999999996</v>
      </c>
      <c r="S130" s="66">
        <v>-3.8249999999999993</v>
      </c>
      <c r="T130" s="66">
        <v>0</v>
      </c>
      <c r="U130" s="66">
        <v>-1.1000000000000014</v>
      </c>
      <c r="V130" s="66">
        <v>0</v>
      </c>
      <c r="W130" s="66">
        <v>0</v>
      </c>
      <c r="X130" s="66">
        <v>-1.0999999999999996</v>
      </c>
      <c r="Y130" s="66">
        <v>-15.243</v>
      </c>
      <c r="Z130" s="34"/>
      <c r="AA130" s="66">
        <v>-19.186</v>
      </c>
      <c r="AB130" s="60">
        <v>3.94</v>
      </c>
      <c r="AC130" s="34"/>
      <c r="AD130" s="66">
        <v>-20.032</v>
      </c>
      <c r="AE130" s="60">
        <v>4.79</v>
      </c>
    </row>
    <row r="131" spans="1:31" ht="18" hidden="1" customHeight="1" outlineLevel="1" x14ac:dyDescent="0.2">
      <c r="A131" s="30" t="s">
        <v>160</v>
      </c>
      <c r="B131" s="30" t="s">
        <v>18</v>
      </c>
      <c r="C131" s="4">
        <v>0</v>
      </c>
      <c r="D131" s="4">
        <v>0</v>
      </c>
      <c r="F131" s="38" t="s">
        <v>161</v>
      </c>
      <c r="G131" s="34"/>
      <c r="H131" s="66">
        <v>0.52900000000000003</v>
      </c>
      <c r="I131" s="66">
        <v>0</v>
      </c>
      <c r="J131" s="66">
        <v>0</v>
      </c>
      <c r="K131" s="86">
        <v>0</v>
      </c>
      <c r="L131" s="8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34"/>
      <c r="AA131" s="66">
        <v>0</v>
      </c>
      <c r="AB131" s="60">
        <v>0</v>
      </c>
      <c r="AC131" s="34"/>
      <c r="AD131" s="66">
        <v>0</v>
      </c>
      <c r="AE131" s="60">
        <v>0</v>
      </c>
    </row>
    <row r="132" spans="1:31" ht="18" customHeight="1" collapsed="1" x14ac:dyDescent="0.2">
      <c r="A132" s="35"/>
      <c r="B132" s="35"/>
      <c r="C132" s="4">
        <v>-0.36790328315752041</v>
      </c>
      <c r="D132" s="4">
        <v>8.7877351035245757E-2</v>
      </c>
      <c r="F132" s="106" t="s">
        <v>378</v>
      </c>
      <c r="H132" s="61">
        <v>-30.189999999999998</v>
      </c>
      <c r="I132" s="61">
        <v>-28.673999999999999</v>
      </c>
      <c r="J132" s="61">
        <v>-28.673999999999999</v>
      </c>
      <c r="K132" s="86">
        <v>-42.185000000000002</v>
      </c>
      <c r="L132" s="86">
        <v>-63.269999999999996</v>
      </c>
      <c r="M132" s="61">
        <v>-1.1000000000000001</v>
      </c>
      <c r="N132" s="61">
        <v>-3.2450000000000001</v>
      </c>
      <c r="O132" s="61">
        <v>-13.025999999999998</v>
      </c>
      <c r="P132" s="61">
        <v>-2.6645352591003757E-15</v>
      </c>
      <c r="Q132" s="61">
        <v>-2.0000000000000009</v>
      </c>
      <c r="R132" s="61">
        <v>-6.7799999999999994</v>
      </c>
      <c r="S132" s="61">
        <v>-7.8249999999999993</v>
      </c>
      <c r="T132" s="61">
        <v>-0.6039999999999992</v>
      </c>
      <c r="U132" s="61">
        <v>2.8999999999999986</v>
      </c>
      <c r="V132" s="61">
        <v>-18.183999999999997</v>
      </c>
      <c r="W132" s="61">
        <v>-6.0670000000000002</v>
      </c>
      <c r="X132" s="61">
        <v>-1.7760000000000016</v>
      </c>
      <c r="Y132" s="61">
        <v>-57.707000000000001</v>
      </c>
      <c r="AA132" s="61">
        <v>-42.185000000000002</v>
      </c>
      <c r="AB132" s="60">
        <v>-15.52</v>
      </c>
      <c r="AD132" s="61">
        <v>-63.27</v>
      </c>
      <c r="AE132" s="60">
        <v>5.56</v>
      </c>
    </row>
    <row r="133" spans="1:31" ht="18" hidden="1" customHeight="1" outlineLevel="1" x14ac:dyDescent="0.2">
      <c r="A133" s="30" t="s">
        <v>158</v>
      </c>
      <c r="B133" s="30" t="s">
        <v>18</v>
      </c>
      <c r="C133" s="4">
        <v>0.84966013594562184</v>
      </c>
      <c r="D133" s="4">
        <v>-0.20032051282051283</v>
      </c>
      <c r="F133" s="38" t="s">
        <v>159</v>
      </c>
      <c r="G133" s="34"/>
      <c r="H133" s="66">
        <v>-3.073</v>
      </c>
      <c r="I133" s="66">
        <v>-0.85799999999999998</v>
      </c>
      <c r="J133" s="66">
        <v>-0.85799999999999998</v>
      </c>
      <c r="K133" s="86">
        <v>-10.004</v>
      </c>
      <c r="L133" s="86">
        <v>-1.248</v>
      </c>
      <c r="M133" s="66">
        <v>-0.246</v>
      </c>
      <c r="N133" s="66">
        <v>-0.24299999999999999</v>
      </c>
      <c r="O133" s="66">
        <v>2.9999999999999971E-2</v>
      </c>
      <c r="P133" s="66">
        <v>-0.14799999999999996</v>
      </c>
      <c r="Q133" s="66">
        <v>-0.10099999999999998</v>
      </c>
      <c r="R133" s="66">
        <v>-6.5000000000000058E-2</v>
      </c>
      <c r="S133" s="66">
        <v>-7.3999999999999955E-2</v>
      </c>
      <c r="T133" s="66">
        <v>-5.4000000000000048E-2</v>
      </c>
      <c r="U133" s="66">
        <v>-0.11999999999999988</v>
      </c>
      <c r="V133" s="66">
        <v>-0.13500000000000001</v>
      </c>
      <c r="W133" s="66">
        <v>-0.125</v>
      </c>
      <c r="X133" s="66">
        <v>-0.22100000000000009</v>
      </c>
      <c r="Y133" s="66">
        <v>-1.502</v>
      </c>
      <c r="Z133" s="34"/>
      <c r="AA133" s="66">
        <v>-10.004</v>
      </c>
      <c r="AB133" s="60">
        <v>8.5</v>
      </c>
      <c r="AC133" s="34"/>
      <c r="AD133" s="66">
        <v>-1.248</v>
      </c>
      <c r="AE133" s="60">
        <v>-0.25</v>
      </c>
    </row>
    <row r="134" spans="1:31" ht="18" hidden="1" customHeight="1" outlineLevel="1" x14ac:dyDescent="0.2">
      <c r="A134" s="30" t="s">
        <v>152</v>
      </c>
      <c r="B134" s="30" t="s">
        <v>18</v>
      </c>
      <c r="C134" s="4">
        <v>-1.0013908205841446</v>
      </c>
      <c r="D134" s="4">
        <v>-1.0013908205841446</v>
      </c>
      <c r="F134" s="38" t="s">
        <v>153</v>
      </c>
      <c r="G134" s="34"/>
      <c r="H134" s="66">
        <v>-0.107</v>
      </c>
      <c r="I134" s="66">
        <v>-0.1</v>
      </c>
      <c r="J134" s="66">
        <v>-0.1</v>
      </c>
      <c r="K134" s="86">
        <v>0</v>
      </c>
      <c r="L134" s="86">
        <v>0</v>
      </c>
      <c r="M134" s="66">
        <v>0</v>
      </c>
      <c r="N134" s="66">
        <v>-0.1</v>
      </c>
      <c r="O134" s="66">
        <v>0</v>
      </c>
      <c r="P134" s="66">
        <v>-0.55700000000000005</v>
      </c>
      <c r="Q134" s="66">
        <v>-1.1119999999999999</v>
      </c>
      <c r="R134" s="66">
        <v>-0.37100000000000022</v>
      </c>
      <c r="S134" s="66">
        <v>0</v>
      </c>
      <c r="T134" s="66">
        <v>0</v>
      </c>
      <c r="U134" s="66">
        <v>0</v>
      </c>
      <c r="V134" s="66">
        <v>0.27800000000000002</v>
      </c>
      <c r="W134" s="66">
        <v>0</v>
      </c>
      <c r="X134" s="66">
        <v>-0.29499999999999993</v>
      </c>
      <c r="Y134" s="66">
        <v>-2.157</v>
      </c>
      <c r="Z134" s="34"/>
      <c r="AA134" s="66">
        <v>0</v>
      </c>
      <c r="AB134" s="60">
        <v>-2.16</v>
      </c>
      <c r="AC134" s="34"/>
      <c r="AD134" s="66">
        <v>0</v>
      </c>
      <c r="AE134" s="60">
        <v>-2.16</v>
      </c>
    </row>
    <row r="135" spans="1:31" ht="18" hidden="1" customHeight="1" outlineLevel="1" x14ac:dyDescent="0.2">
      <c r="A135" s="30" t="s">
        <v>269</v>
      </c>
      <c r="B135" s="30" t="s">
        <v>18</v>
      </c>
      <c r="C135" s="4">
        <v>0</v>
      </c>
      <c r="D135" s="4">
        <v>0</v>
      </c>
      <c r="F135" s="38" t="s">
        <v>271</v>
      </c>
      <c r="G135" s="34"/>
      <c r="H135" s="66">
        <v>0</v>
      </c>
      <c r="I135" s="66">
        <v>0</v>
      </c>
      <c r="J135" s="66">
        <v>0</v>
      </c>
      <c r="K135" s="86">
        <v>0</v>
      </c>
      <c r="L135" s="8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34"/>
      <c r="AA135" s="66">
        <v>0</v>
      </c>
      <c r="AB135" s="60">
        <v>0</v>
      </c>
      <c r="AC135" s="34"/>
      <c r="AD135" s="66">
        <v>0</v>
      </c>
      <c r="AE135" s="60">
        <v>0</v>
      </c>
    </row>
    <row r="136" spans="1:31" ht="18" hidden="1" customHeight="1" outlineLevel="1" x14ac:dyDescent="0.2">
      <c r="A136" s="30" t="s">
        <v>270</v>
      </c>
      <c r="B136" s="30" t="s">
        <v>18</v>
      </c>
      <c r="C136" s="4">
        <v>0</v>
      </c>
      <c r="D136" s="4">
        <v>0</v>
      </c>
      <c r="F136" s="38" t="s">
        <v>272</v>
      </c>
      <c r="G136" s="34"/>
      <c r="H136" s="66">
        <v>0</v>
      </c>
      <c r="I136" s="66">
        <v>0</v>
      </c>
      <c r="J136" s="66">
        <v>0</v>
      </c>
      <c r="K136" s="86">
        <v>0</v>
      </c>
      <c r="L136" s="8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34"/>
      <c r="AA136" s="66">
        <v>0</v>
      </c>
      <c r="AB136" s="60">
        <v>0</v>
      </c>
      <c r="AC136" s="34"/>
      <c r="AD136" s="66">
        <v>0</v>
      </c>
      <c r="AE136" s="60">
        <v>0</v>
      </c>
    </row>
    <row r="137" spans="1:31" ht="18" hidden="1" customHeight="1" outlineLevel="1" x14ac:dyDescent="0.2">
      <c r="A137" s="30" t="s">
        <v>162</v>
      </c>
      <c r="B137" s="30" t="s">
        <v>18</v>
      </c>
      <c r="C137" s="4">
        <v>0</v>
      </c>
      <c r="D137" s="4">
        <v>0</v>
      </c>
      <c r="F137" s="38" t="s">
        <v>163</v>
      </c>
      <c r="G137" s="34"/>
      <c r="H137" s="66">
        <v>2.7E-2</v>
      </c>
      <c r="I137" s="66">
        <v>0</v>
      </c>
      <c r="J137" s="66">
        <v>0</v>
      </c>
      <c r="K137" s="86">
        <v>0</v>
      </c>
      <c r="L137" s="8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34"/>
      <c r="AA137" s="66">
        <v>0</v>
      </c>
      <c r="AB137" s="60">
        <v>0</v>
      </c>
      <c r="AC137" s="34"/>
      <c r="AD137" s="66">
        <v>0</v>
      </c>
      <c r="AE137" s="60">
        <v>0</v>
      </c>
    </row>
    <row r="138" spans="1:31" ht="18" hidden="1" customHeight="1" outlineLevel="1" x14ac:dyDescent="0.2">
      <c r="A138" s="30" t="s">
        <v>164</v>
      </c>
      <c r="B138" s="30" t="s">
        <v>18</v>
      </c>
      <c r="C138" s="4">
        <v>0</v>
      </c>
      <c r="D138" s="4">
        <v>0</v>
      </c>
      <c r="F138" s="38" t="s">
        <v>165</v>
      </c>
      <c r="G138" s="34"/>
      <c r="H138" s="66">
        <v>0</v>
      </c>
      <c r="I138" s="66">
        <v>0</v>
      </c>
      <c r="J138" s="66">
        <v>0</v>
      </c>
      <c r="K138" s="86">
        <v>0</v>
      </c>
      <c r="L138" s="8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34"/>
      <c r="AA138" s="66">
        <v>0</v>
      </c>
      <c r="AB138" s="60">
        <v>0</v>
      </c>
      <c r="AC138" s="34"/>
      <c r="AD138" s="66">
        <v>0</v>
      </c>
      <c r="AE138" s="60">
        <v>0</v>
      </c>
    </row>
    <row r="139" spans="1:31" ht="18" hidden="1" customHeight="1" outlineLevel="1" x14ac:dyDescent="0.2">
      <c r="A139" s="30" t="s">
        <v>166</v>
      </c>
      <c r="B139" s="30" t="s">
        <v>18</v>
      </c>
      <c r="C139" s="4">
        <v>0</v>
      </c>
      <c r="D139" s="4">
        <v>0</v>
      </c>
      <c r="F139" s="38" t="s">
        <v>167</v>
      </c>
      <c r="G139" s="34"/>
      <c r="H139" s="66">
        <v>0</v>
      </c>
      <c r="I139" s="66">
        <v>0</v>
      </c>
      <c r="J139" s="66">
        <v>0</v>
      </c>
      <c r="K139" s="86">
        <v>0</v>
      </c>
      <c r="L139" s="8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34"/>
      <c r="AA139" s="66">
        <v>0</v>
      </c>
      <c r="AB139" s="60">
        <v>0</v>
      </c>
      <c r="AC139" s="34"/>
      <c r="AD139" s="66">
        <v>0</v>
      </c>
      <c r="AE139" s="60">
        <v>0</v>
      </c>
    </row>
    <row r="140" spans="1:31" ht="18" customHeight="1" collapsed="1" x14ac:dyDescent="0.2">
      <c r="A140" s="30" t="s">
        <v>408</v>
      </c>
      <c r="B140" s="30" t="s">
        <v>18</v>
      </c>
      <c r="C140" s="4"/>
      <c r="D140" s="4"/>
      <c r="F140" s="106" t="s">
        <v>409</v>
      </c>
      <c r="G140" s="34"/>
      <c r="H140" s="61">
        <v>-2.8420000000000001</v>
      </c>
      <c r="I140" s="61">
        <v>-2.7370000000000001</v>
      </c>
      <c r="J140" s="61">
        <v>-2.7370000000000001</v>
      </c>
      <c r="K140" s="86">
        <v>0</v>
      </c>
      <c r="L140" s="86">
        <v>0</v>
      </c>
      <c r="M140" s="61">
        <v>0</v>
      </c>
      <c r="N140" s="197">
        <v>-0.625</v>
      </c>
      <c r="O140" s="61">
        <v>0</v>
      </c>
      <c r="P140" s="61">
        <v>0</v>
      </c>
      <c r="Q140" s="61">
        <v>-0.80899999999999994</v>
      </c>
      <c r="R140" s="61">
        <v>0</v>
      </c>
      <c r="S140" s="61">
        <v>0</v>
      </c>
      <c r="T140" s="61">
        <v>-0.67300000000000026</v>
      </c>
      <c r="U140" s="61">
        <v>0</v>
      </c>
      <c r="V140" s="61">
        <v>0</v>
      </c>
      <c r="W140" s="61">
        <v>-0.72699999999999987</v>
      </c>
      <c r="X140" s="61">
        <v>0</v>
      </c>
      <c r="Y140" s="61">
        <v>-2.8340000000000001</v>
      </c>
      <c r="AA140" s="241">
        <v>0</v>
      </c>
      <c r="AB140" s="60">
        <v>-2.83</v>
      </c>
      <c r="AD140" s="61">
        <v>0</v>
      </c>
      <c r="AE140" s="60">
        <v>-2.83</v>
      </c>
    </row>
    <row r="141" spans="1:31" ht="18" customHeight="1" x14ac:dyDescent="0.2">
      <c r="A141" s="35"/>
      <c r="B141" s="35"/>
      <c r="C141" s="4">
        <v>0.63474610155937627</v>
      </c>
      <c r="D141" s="4">
        <v>-1.9310897435897436</v>
      </c>
      <c r="F141" s="106" t="s">
        <v>189</v>
      </c>
      <c r="H141" s="61">
        <v>-3.153</v>
      </c>
      <c r="I141" s="61">
        <v>-0.95799999999999996</v>
      </c>
      <c r="J141" s="61">
        <v>-0.95799999999999996</v>
      </c>
      <c r="K141" s="86">
        <v>-10.004</v>
      </c>
      <c r="L141" s="86">
        <v>-1.248</v>
      </c>
      <c r="M141" s="61">
        <v>-0.246</v>
      </c>
      <c r="N141" s="61">
        <v>-0.34299999999999997</v>
      </c>
      <c r="O141" s="61">
        <v>2.9999999999999971E-2</v>
      </c>
      <c r="P141" s="61">
        <v>-0.70500000000000007</v>
      </c>
      <c r="Q141" s="61">
        <v>-1.2129999999999999</v>
      </c>
      <c r="R141" s="61">
        <v>-0.43600000000000028</v>
      </c>
      <c r="S141" s="61">
        <v>-7.3999999999999955E-2</v>
      </c>
      <c r="T141" s="61">
        <v>-5.4000000000000048E-2</v>
      </c>
      <c r="U141" s="61">
        <v>-0.11999999999999988</v>
      </c>
      <c r="V141" s="61">
        <v>0.14300000000000002</v>
      </c>
      <c r="W141" s="61">
        <v>-0.125</v>
      </c>
      <c r="X141" s="61">
        <v>-0.51600000000000001</v>
      </c>
      <c r="Y141" s="61">
        <v>-3.6589999999999998</v>
      </c>
      <c r="AA141" s="61">
        <v>-10.004</v>
      </c>
      <c r="AB141" s="60">
        <v>6.35</v>
      </c>
      <c r="AD141" s="61">
        <v>-1.248</v>
      </c>
      <c r="AE141" s="60">
        <v>-2.41</v>
      </c>
    </row>
    <row r="142" spans="1:31" ht="18" customHeight="1" x14ac:dyDescent="0.2">
      <c r="A142" s="35"/>
      <c r="B142" s="35"/>
      <c r="C142" s="4">
        <v>-0.1997606382978723</v>
      </c>
      <c r="D142" s="4">
        <v>-0.11412694492467278</v>
      </c>
      <c r="F142" s="95" t="s">
        <v>65</v>
      </c>
      <c r="H142" s="195">
        <v>-318.07900000000001</v>
      </c>
      <c r="I142" s="195">
        <v>-315.89499999999998</v>
      </c>
      <c r="J142" s="64">
        <v>-315.89499999999998</v>
      </c>
      <c r="K142" s="89">
        <v>-376.00000000000006</v>
      </c>
      <c r="L142" s="89">
        <v>-404.9</v>
      </c>
      <c r="M142" s="64">
        <v>-20.213999999999999</v>
      </c>
      <c r="N142" s="64">
        <v>-39.227999999999994</v>
      </c>
      <c r="O142" s="64">
        <v>-38.926000000000002</v>
      </c>
      <c r="P142" s="64">
        <v>-29.259</v>
      </c>
      <c r="Q142" s="64">
        <v>-29.093</v>
      </c>
      <c r="R142" s="64">
        <v>-38.790000000000006</v>
      </c>
      <c r="S142" s="64">
        <v>-32.398999999999987</v>
      </c>
      <c r="T142" s="64">
        <v>-20.032000000000004</v>
      </c>
      <c r="U142" s="64">
        <v>-34.420999999999992</v>
      </c>
      <c r="V142" s="64">
        <v>-55.218000000000004</v>
      </c>
      <c r="W142" s="64">
        <v>-64.169999999999987</v>
      </c>
      <c r="X142" s="64">
        <v>-49.360000000000028</v>
      </c>
      <c r="Y142" s="64">
        <v>-451.11</v>
      </c>
      <c r="AA142" s="64">
        <v>-376.00000000000006</v>
      </c>
      <c r="AB142" s="60">
        <v>-75.11</v>
      </c>
      <c r="AD142" s="64">
        <v>-404.89999999999992</v>
      </c>
      <c r="AE142" s="60">
        <v>-46.21</v>
      </c>
    </row>
    <row r="143" spans="1:31" ht="12.95" customHeight="1" x14ac:dyDescent="0.2">
      <c r="A143" s="35"/>
      <c r="B143" s="35"/>
      <c r="C143" s="4"/>
      <c r="D143" s="4"/>
      <c r="F143" s="39" t="s">
        <v>223</v>
      </c>
      <c r="H143" s="56">
        <v>6.8613393761399008E-2</v>
      </c>
      <c r="I143" s="56">
        <v>6.832967741781977E-2</v>
      </c>
      <c r="J143" s="56">
        <v>6.832967741781977E-2</v>
      </c>
      <c r="K143" s="109">
        <v>7.6001511944971678E-2</v>
      </c>
      <c r="L143" s="109">
        <v>7.954621135874318E-2</v>
      </c>
      <c r="M143" s="56">
        <v>5.4907712993521568E-2</v>
      </c>
      <c r="N143" s="56">
        <v>9.9376553233639281E-2</v>
      </c>
      <c r="O143" s="56">
        <v>9.425478283820074E-2</v>
      </c>
      <c r="P143" s="56">
        <v>6.8359594033867863E-2</v>
      </c>
      <c r="Q143" s="56">
        <v>6.3857854650014284E-2</v>
      </c>
      <c r="R143" s="56">
        <v>8.9810377161908789E-2</v>
      </c>
      <c r="S143" s="56">
        <v>7.6498796995676729E-2</v>
      </c>
      <c r="T143" s="56">
        <v>4.4451348052812589E-2</v>
      </c>
      <c r="U143" s="56">
        <v>8.191419487491905E-2</v>
      </c>
      <c r="V143" s="56">
        <v>0.12492110139065161</v>
      </c>
      <c r="W143" s="56">
        <v>0.14002020550261743</v>
      </c>
      <c r="X143" s="56">
        <v>0.10638343728851557</v>
      </c>
      <c r="Y143" s="56">
        <v>8.7593052205544558E-2</v>
      </c>
      <c r="AA143" s="56">
        <v>7.6001511944971678E-2</v>
      </c>
      <c r="AB143" s="57"/>
      <c r="AD143" s="56">
        <v>7.954621135874318E-2</v>
      </c>
      <c r="AE143" s="57"/>
    </row>
    <row r="144" spans="1:31" ht="6.95" customHeight="1" x14ac:dyDescent="0.2">
      <c r="C144" s="4"/>
      <c r="D144" s="4"/>
      <c r="F144" s="96"/>
      <c r="H144" s="16"/>
      <c r="I144" s="16"/>
      <c r="J144" s="16"/>
      <c r="K144" s="85"/>
      <c r="L144" s="85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AA144" s="16"/>
      <c r="AB144" s="20"/>
      <c r="AD144" s="16"/>
      <c r="AE144" s="20"/>
    </row>
    <row r="145" spans="1:31" ht="18" hidden="1" customHeight="1" outlineLevel="1" collapsed="1" x14ac:dyDescent="0.2">
      <c r="A145" s="35"/>
      <c r="B145" s="35"/>
      <c r="C145" s="4"/>
      <c r="D145" s="4"/>
      <c r="F145" s="97" t="s">
        <v>242</v>
      </c>
      <c r="H145" s="74">
        <v>2.4307799999999999</v>
      </c>
      <c r="I145" s="74">
        <v>2.6392399999999996</v>
      </c>
      <c r="J145" s="74">
        <v>2.6392399999999996</v>
      </c>
      <c r="K145" s="112">
        <v>2.6</v>
      </c>
      <c r="L145" s="112">
        <v>2.2000000000000002</v>
      </c>
      <c r="M145" s="74">
        <v>1.7892000000000001</v>
      </c>
      <c r="N145" s="74">
        <v>2.3196000000000003</v>
      </c>
      <c r="O145" s="74">
        <v>2.6200799999999993</v>
      </c>
      <c r="P145" s="74">
        <v>2.0150399999999999</v>
      </c>
      <c r="Q145" s="74">
        <v>1.9000800000000004</v>
      </c>
      <c r="R145" s="74">
        <v>2.5399199999999995</v>
      </c>
      <c r="S145" s="74">
        <v>1.9291199999999993</v>
      </c>
      <c r="T145" s="74">
        <v>4.4270400000000008</v>
      </c>
      <c r="U145" s="74">
        <v>0.23927999999999999</v>
      </c>
      <c r="V145" s="74">
        <v>2.6095200000000012</v>
      </c>
      <c r="W145" s="74">
        <v>2.2000799999999971</v>
      </c>
      <c r="X145" s="74">
        <v>4.7688000000000006</v>
      </c>
      <c r="Y145" s="74">
        <v>2.4464799999999998</v>
      </c>
      <c r="AA145" s="74">
        <v>2.6</v>
      </c>
      <c r="AB145" s="73">
        <v>-0.15</v>
      </c>
      <c r="AD145" s="74">
        <v>2.2000000000000002</v>
      </c>
      <c r="AE145" s="73">
        <v>0.25</v>
      </c>
    </row>
    <row r="146" spans="1:31" ht="18" customHeight="1" collapsed="1" x14ac:dyDescent="0.2">
      <c r="A146" s="30" t="s">
        <v>79</v>
      </c>
      <c r="B146" s="30" t="s">
        <v>18</v>
      </c>
      <c r="C146" s="4">
        <v>5.9076923076923075E-2</v>
      </c>
      <c r="D146" s="4">
        <v>-0.112</v>
      </c>
      <c r="F146" s="106" t="s">
        <v>83</v>
      </c>
      <c r="H146" s="61">
        <v>-121.539</v>
      </c>
      <c r="I146" s="61">
        <v>-131.96199999999999</v>
      </c>
      <c r="J146" s="61">
        <v>-131.96199999999999</v>
      </c>
      <c r="K146" s="86">
        <v>-130</v>
      </c>
      <c r="L146" s="86">
        <v>-110</v>
      </c>
      <c r="M146" s="61">
        <v>-7.4550000000000001</v>
      </c>
      <c r="N146" s="61">
        <v>-9.6650000000000009</v>
      </c>
      <c r="O146" s="61">
        <v>-10.916999999999998</v>
      </c>
      <c r="P146" s="61">
        <v>-8.3960000000000008</v>
      </c>
      <c r="Q146" s="61">
        <v>-7.9170000000000016</v>
      </c>
      <c r="R146" s="61">
        <v>-10.582999999999998</v>
      </c>
      <c r="S146" s="61">
        <v>-8.0379999999999967</v>
      </c>
      <c r="T146" s="61">
        <v>-18.446000000000005</v>
      </c>
      <c r="U146" s="61">
        <v>-0.99699999999999989</v>
      </c>
      <c r="V146" s="61">
        <v>-10.873000000000005</v>
      </c>
      <c r="W146" s="61">
        <v>-9.1669999999999874</v>
      </c>
      <c r="X146" s="61">
        <v>-19.870000000000005</v>
      </c>
      <c r="Y146" s="61">
        <v>-122.324</v>
      </c>
      <c r="AA146" s="61">
        <v>-130</v>
      </c>
      <c r="AB146" s="60">
        <v>7.68</v>
      </c>
      <c r="AD146" s="61">
        <v>-110</v>
      </c>
      <c r="AE146" s="60">
        <v>-12.32</v>
      </c>
    </row>
    <row r="147" spans="1:31" ht="18" customHeight="1" x14ac:dyDescent="0.2">
      <c r="A147" s="30" t="s">
        <v>80</v>
      </c>
      <c r="B147" s="30" t="s">
        <v>18</v>
      </c>
      <c r="C147" s="4">
        <v>1</v>
      </c>
      <c r="D147" s="4">
        <v>1</v>
      </c>
      <c r="F147" s="106" t="s">
        <v>84</v>
      </c>
      <c r="H147" s="61">
        <v>0</v>
      </c>
      <c r="I147" s="61">
        <v>-0.39800000000000002</v>
      </c>
      <c r="J147" s="61">
        <v>-0.39800000000000002</v>
      </c>
      <c r="K147" s="86">
        <v>-0.5</v>
      </c>
      <c r="L147" s="86">
        <v>-0.5</v>
      </c>
      <c r="M147" s="61">
        <v>0</v>
      </c>
      <c r="N147" s="61">
        <v>0</v>
      </c>
      <c r="O147" s="61">
        <v>0</v>
      </c>
      <c r="P147" s="61">
        <v>0</v>
      </c>
      <c r="Q147" s="61">
        <v>0</v>
      </c>
      <c r="R147" s="61">
        <v>0</v>
      </c>
      <c r="S147" s="61">
        <v>0</v>
      </c>
      <c r="T147" s="61">
        <v>0</v>
      </c>
      <c r="U147" s="61">
        <v>0</v>
      </c>
      <c r="V147" s="61">
        <v>0</v>
      </c>
      <c r="W147" s="61">
        <v>0</v>
      </c>
      <c r="X147" s="61">
        <v>0</v>
      </c>
      <c r="Y147" s="61">
        <v>0</v>
      </c>
      <c r="AA147" s="61">
        <v>-0.5</v>
      </c>
      <c r="AB147" s="60">
        <v>0.5</v>
      </c>
      <c r="AD147" s="61">
        <v>-0.5</v>
      </c>
      <c r="AE147" s="60">
        <v>0.5</v>
      </c>
    </row>
    <row r="148" spans="1:31" ht="18" customHeight="1" x14ac:dyDescent="0.2">
      <c r="A148" s="30" t="s">
        <v>81</v>
      </c>
      <c r="B148" s="30" t="s">
        <v>18</v>
      </c>
      <c r="C148" s="4">
        <v>-0.15863636363636366</v>
      </c>
      <c r="D148" s="4">
        <v>-6.2083333333333331E-2</v>
      </c>
      <c r="F148" s="106" t="s">
        <v>85</v>
      </c>
      <c r="H148" s="61">
        <v>-19.542000000000002</v>
      </c>
      <c r="I148" s="61">
        <v>-18.567</v>
      </c>
      <c r="J148" s="61">
        <v>-18.567</v>
      </c>
      <c r="K148" s="86">
        <v>-22</v>
      </c>
      <c r="L148" s="86">
        <v>-24</v>
      </c>
      <c r="M148" s="61">
        <v>-0.33</v>
      </c>
      <c r="N148" s="61">
        <v>-1.5089999999999999</v>
      </c>
      <c r="O148" s="61">
        <v>-1.8639999999999999</v>
      </c>
      <c r="P148" s="61">
        <v>-3.9230000000000005</v>
      </c>
      <c r="Q148" s="61">
        <v>-2.1339999999999995</v>
      </c>
      <c r="R148" s="61">
        <v>-3.7080000000000002</v>
      </c>
      <c r="S148" s="61">
        <v>-0.29199999999999982</v>
      </c>
      <c r="T148" s="61">
        <v>-1.8490000000000002</v>
      </c>
      <c r="U148" s="61">
        <v>-3.6029999999999998</v>
      </c>
      <c r="V148" s="61">
        <v>-2.6499999999999986</v>
      </c>
      <c r="W148" s="61">
        <v>-1.838000000000001</v>
      </c>
      <c r="X148" s="61">
        <v>-1.7860000000000014</v>
      </c>
      <c r="Y148" s="61">
        <v>-25.486000000000001</v>
      </c>
      <c r="AA148" s="61">
        <v>-22</v>
      </c>
      <c r="AB148" s="60">
        <v>-3.49</v>
      </c>
      <c r="AD148" s="61">
        <v>-24</v>
      </c>
      <c r="AE148" s="60">
        <v>-1.49</v>
      </c>
    </row>
    <row r="149" spans="1:31" ht="18" customHeight="1" x14ac:dyDescent="0.2">
      <c r="A149" s="30" t="s">
        <v>204</v>
      </c>
      <c r="B149" s="30" t="s">
        <v>18</v>
      </c>
      <c r="C149" s="4">
        <v>1.6700000000000002</v>
      </c>
      <c r="D149" s="4">
        <v>5.3695652173913047</v>
      </c>
      <c r="F149" s="104" t="s">
        <v>139</v>
      </c>
      <c r="G149" s="36"/>
      <c r="H149" s="65">
        <v>-17.231000000000002</v>
      </c>
      <c r="I149" s="65">
        <v>0.96499999999999897</v>
      </c>
      <c r="J149" s="65">
        <v>0.96499999999999897</v>
      </c>
      <c r="K149" s="65">
        <v>-15</v>
      </c>
      <c r="L149" s="65">
        <v>-2.2999999999999998</v>
      </c>
      <c r="M149" s="65">
        <v>-7.4999999999999997E-2</v>
      </c>
      <c r="N149" s="65">
        <v>-0.49999999999999994</v>
      </c>
      <c r="O149" s="65">
        <v>-0.59000000000000008</v>
      </c>
      <c r="P149" s="65">
        <v>0</v>
      </c>
      <c r="Q149" s="65">
        <v>0.5</v>
      </c>
      <c r="R149" s="65">
        <v>0</v>
      </c>
      <c r="S149" s="65">
        <v>0</v>
      </c>
      <c r="T149" s="65">
        <v>0</v>
      </c>
      <c r="U149" s="65">
        <v>0</v>
      </c>
      <c r="V149" s="65">
        <v>-0.94</v>
      </c>
      <c r="W149" s="65">
        <v>0</v>
      </c>
      <c r="X149" s="65">
        <v>11.656000000000001</v>
      </c>
      <c r="Y149" s="65">
        <v>10.051</v>
      </c>
      <c r="Z149" s="36"/>
      <c r="AA149" s="65">
        <v>-15</v>
      </c>
      <c r="AB149" s="60">
        <v>25.05</v>
      </c>
      <c r="AC149" s="36"/>
      <c r="AD149" s="65">
        <v>-2.2999999999999998</v>
      </c>
      <c r="AE149" s="60">
        <v>12.35</v>
      </c>
    </row>
    <row r="150" spans="1:31" ht="18" customHeight="1" x14ac:dyDescent="0.2">
      <c r="A150" s="30" t="s">
        <v>82</v>
      </c>
      <c r="B150" s="30" t="s">
        <v>18</v>
      </c>
      <c r="C150" s="4">
        <v>-0.1907142857142857</v>
      </c>
      <c r="D150" s="4">
        <v>-0.1907142857142857</v>
      </c>
      <c r="F150" s="106" t="s">
        <v>86</v>
      </c>
      <c r="H150" s="61">
        <v>-5.3010000000000002</v>
      </c>
      <c r="I150" s="61">
        <v>-12.815</v>
      </c>
      <c r="J150" s="61">
        <v>-12.815</v>
      </c>
      <c r="K150" s="86">
        <v>-14</v>
      </c>
      <c r="L150" s="86">
        <v>-14</v>
      </c>
      <c r="M150" s="61">
        <v>0</v>
      </c>
      <c r="N150" s="61">
        <v>0</v>
      </c>
      <c r="O150" s="61">
        <v>-9.0749999999999993</v>
      </c>
      <c r="P150" s="61">
        <v>0</v>
      </c>
      <c r="Q150" s="61">
        <v>-8.5000000000000853E-2</v>
      </c>
      <c r="R150" s="61">
        <v>-1.4789999999999992</v>
      </c>
      <c r="S150" s="61">
        <v>0.33099999999999952</v>
      </c>
      <c r="T150" s="61">
        <v>-0.33300000000000018</v>
      </c>
      <c r="U150" s="61">
        <v>0.22499999999999964</v>
      </c>
      <c r="V150" s="61">
        <v>0</v>
      </c>
      <c r="W150" s="61">
        <v>-5.0719999999999992</v>
      </c>
      <c r="X150" s="61">
        <v>-1.1820000000000022</v>
      </c>
      <c r="Y150" s="61">
        <v>-16.670000000000002</v>
      </c>
      <c r="AA150" s="61">
        <v>-14</v>
      </c>
      <c r="AB150" s="60">
        <v>-2.67</v>
      </c>
      <c r="AD150" s="61">
        <v>-14</v>
      </c>
      <c r="AE150" s="60">
        <v>-2.67</v>
      </c>
    </row>
    <row r="151" spans="1:31" ht="18" hidden="1" customHeight="1" outlineLevel="1" x14ac:dyDescent="0.2">
      <c r="A151" s="30" t="s">
        <v>140</v>
      </c>
      <c r="B151" s="30" t="s">
        <v>18</v>
      </c>
      <c r="C151" s="4">
        <v>0</v>
      </c>
      <c r="D151" s="4">
        <v>0</v>
      </c>
      <c r="F151" s="38" t="s">
        <v>141</v>
      </c>
      <c r="G151" s="34"/>
      <c r="H151" s="66">
        <v>0</v>
      </c>
      <c r="I151" s="66">
        <v>0</v>
      </c>
      <c r="J151" s="66">
        <v>0</v>
      </c>
      <c r="K151" s="86">
        <v>0</v>
      </c>
      <c r="L151" s="8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34"/>
      <c r="AA151" s="66">
        <v>0</v>
      </c>
      <c r="AB151" s="60">
        <v>0</v>
      </c>
      <c r="AC151" s="34"/>
      <c r="AD151" s="66">
        <v>0</v>
      </c>
      <c r="AE151" s="60">
        <v>0</v>
      </c>
    </row>
    <row r="152" spans="1:31" ht="18" hidden="1" customHeight="1" outlineLevel="1" x14ac:dyDescent="0.2">
      <c r="A152" s="30" t="s">
        <v>123</v>
      </c>
      <c r="B152" s="30" t="s">
        <v>18</v>
      </c>
      <c r="C152" s="4">
        <v>0</v>
      </c>
      <c r="D152" s="4">
        <v>0</v>
      </c>
      <c r="F152" s="38" t="s">
        <v>142</v>
      </c>
      <c r="G152" s="34"/>
      <c r="H152" s="66">
        <v>0</v>
      </c>
      <c r="I152" s="66">
        <v>0</v>
      </c>
      <c r="J152" s="66">
        <v>0</v>
      </c>
      <c r="K152" s="86">
        <v>0</v>
      </c>
      <c r="L152" s="8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34"/>
      <c r="AA152" s="66">
        <v>0</v>
      </c>
      <c r="AB152" s="60">
        <v>0</v>
      </c>
      <c r="AC152" s="34"/>
      <c r="AD152" s="66">
        <v>0</v>
      </c>
      <c r="AE152" s="60">
        <v>0</v>
      </c>
    </row>
    <row r="153" spans="1:31" ht="18" hidden="1" customHeight="1" outlineLevel="1" x14ac:dyDescent="0.2">
      <c r="A153" s="30" t="s">
        <v>124</v>
      </c>
      <c r="B153" s="30" t="s">
        <v>18</v>
      </c>
      <c r="C153" s="4">
        <v>0</v>
      </c>
      <c r="D153" s="4">
        <v>0</v>
      </c>
      <c r="F153" s="38" t="s">
        <v>143</v>
      </c>
      <c r="G153" s="34"/>
      <c r="H153" s="66">
        <v>0</v>
      </c>
      <c r="I153" s="66">
        <v>0</v>
      </c>
      <c r="J153" s="66">
        <v>0</v>
      </c>
      <c r="K153" s="86">
        <v>0</v>
      </c>
      <c r="L153" s="8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34"/>
      <c r="AA153" s="66">
        <v>0</v>
      </c>
      <c r="AB153" s="60">
        <v>0</v>
      </c>
      <c r="AC153" s="34"/>
      <c r="AD153" s="66">
        <v>0</v>
      </c>
      <c r="AE153" s="60">
        <v>0</v>
      </c>
    </row>
    <row r="154" spans="1:31" ht="18" hidden="1" customHeight="1" outlineLevel="1" x14ac:dyDescent="0.2">
      <c r="A154" s="30" t="s">
        <v>265</v>
      </c>
      <c r="B154" s="30" t="s">
        <v>18</v>
      </c>
      <c r="C154" s="4">
        <v>0</v>
      </c>
      <c r="D154" s="4">
        <v>0</v>
      </c>
      <c r="F154" s="38" t="s">
        <v>266</v>
      </c>
      <c r="G154" s="34"/>
      <c r="H154" s="66">
        <v>0</v>
      </c>
      <c r="I154" s="66">
        <v>0</v>
      </c>
      <c r="J154" s="66">
        <v>0</v>
      </c>
      <c r="K154" s="86">
        <v>0</v>
      </c>
      <c r="L154" s="8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34"/>
      <c r="AA154" s="66">
        <v>0</v>
      </c>
      <c r="AB154" s="60">
        <v>0</v>
      </c>
      <c r="AC154" s="34"/>
      <c r="AD154" s="66">
        <v>0</v>
      </c>
      <c r="AE154" s="60">
        <v>0</v>
      </c>
    </row>
    <row r="155" spans="1:31" ht="18" hidden="1" customHeight="1" outlineLevel="1" x14ac:dyDescent="0.2">
      <c r="A155" s="30" t="s">
        <v>144</v>
      </c>
      <c r="B155" s="30" t="s">
        <v>18</v>
      </c>
      <c r="C155" s="4">
        <v>0</v>
      </c>
      <c r="D155" s="4">
        <v>0</v>
      </c>
      <c r="F155" s="38" t="s">
        <v>145</v>
      </c>
      <c r="G155" s="34"/>
      <c r="H155" s="66">
        <v>0</v>
      </c>
      <c r="I155" s="66">
        <v>0</v>
      </c>
      <c r="J155" s="66">
        <v>0</v>
      </c>
      <c r="K155" s="86">
        <v>0</v>
      </c>
      <c r="L155" s="8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34"/>
      <c r="AA155" s="66">
        <v>0</v>
      </c>
      <c r="AB155" s="60">
        <v>0</v>
      </c>
      <c r="AC155" s="34"/>
      <c r="AD155" s="66">
        <v>0</v>
      </c>
      <c r="AE155" s="60">
        <v>0</v>
      </c>
    </row>
    <row r="156" spans="1:31" ht="18" customHeight="1" collapsed="1" x14ac:dyDescent="0.2">
      <c r="A156" s="35"/>
      <c r="B156" s="35"/>
      <c r="C156" s="4">
        <v>0</v>
      </c>
      <c r="D156" s="4">
        <v>0</v>
      </c>
      <c r="F156" s="106" t="s">
        <v>69</v>
      </c>
      <c r="H156" s="61">
        <v>0</v>
      </c>
      <c r="I156" s="61">
        <v>0</v>
      </c>
      <c r="J156" s="61">
        <v>0</v>
      </c>
      <c r="K156" s="86">
        <v>0</v>
      </c>
      <c r="L156" s="86">
        <v>0</v>
      </c>
      <c r="M156" s="61">
        <v>0</v>
      </c>
      <c r="N156" s="61">
        <v>0</v>
      </c>
      <c r="O156" s="61">
        <v>0</v>
      </c>
      <c r="P156" s="61">
        <v>0</v>
      </c>
      <c r="Q156" s="61">
        <v>0</v>
      </c>
      <c r="R156" s="61">
        <v>0</v>
      </c>
      <c r="S156" s="61">
        <v>0</v>
      </c>
      <c r="T156" s="61">
        <v>0</v>
      </c>
      <c r="U156" s="61">
        <v>0</v>
      </c>
      <c r="V156" s="61">
        <v>0</v>
      </c>
      <c r="W156" s="61">
        <v>0</v>
      </c>
      <c r="X156" s="61">
        <v>0</v>
      </c>
      <c r="Y156" s="61">
        <v>0</v>
      </c>
      <c r="AA156" s="61">
        <v>0</v>
      </c>
      <c r="AB156" s="60">
        <v>0</v>
      </c>
      <c r="AD156" s="61">
        <v>0</v>
      </c>
      <c r="AE156" s="60">
        <v>0</v>
      </c>
    </row>
    <row r="157" spans="1:31" ht="18" customHeight="1" x14ac:dyDescent="0.2">
      <c r="A157" s="35"/>
      <c r="B157" s="35"/>
      <c r="C157" s="4">
        <v>0.14914600550964188</v>
      </c>
      <c r="D157" s="4">
        <v>-2.4071618037135277E-2</v>
      </c>
      <c r="F157" s="95" t="s">
        <v>276</v>
      </c>
      <c r="H157" s="64">
        <v>-163.613</v>
      </c>
      <c r="I157" s="64">
        <v>-162.77699999999999</v>
      </c>
      <c r="J157" s="64">
        <v>-162.77699999999999</v>
      </c>
      <c r="K157" s="89">
        <v>-181.5</v>
      </c>
      <c r="L157" s="89">
        <v>-150.80000000000001</v>
      </c>
      <c r="M157" s="64">
        <v>-7.86</v>
      </c>
      <c r="N157" s="64">
        <v>-11.674000000000001</v>
      </c>
      <c r="O157" s="64">
        <v>-22.445999999999998</v>
      </c>
      <c r="P157" s="64">
        <v>-12.319000000000001</v>
      </c>
      <c r="Q157" s="64">
        <v>-9.6360000000000028</v>
      </c>
      <c r="R157" s="64">
        <v>-15.769999999999998</v>
      </c>
      <c r="S157" s="64">
        <v>-7.998999999999997</v>
      </c>
      <c r="T157" s="64">
        <v>-20.628000000000007</v>
      </c>
      <c r="U157" s="64">
        <v>-4.375</v>
      </c>
      <c r="V157" s="64">
        <v>-14.463000000000003</v>
      </c>
      <c r="W157" s="64">
        <v>-16.076999999999988</v>
      </c>
      <c r="X157" s="64">
        <v>-11.182000000000007</v>
      </c>
      <c r="Y157" s="64">
        <v>-154.42900000000003</v>
      </c>
      <c r="AA157" s="64">
        <v>-181.5</v>
      </c>
      <c r="AB157" s="60">
        <v>27.07</v>
      </c>
      <c r="AD157" s="64">
        <v>-150.80000000000001</v>
      </c>
      <c r="AE157" s="60">
        <v>-3.63</v>
      </c>
    </row>
    <row r="158" spans="1:31" ht="12.95" customHeight="1" x14ac:dyDescent="0.2">
      <c r="A158" s="35"/>
      <c r="B158" s="35"/>
      <c r="C158" s="4"/>
      <c r="D158" s="4"/>
      <c r="F158" s="39" t="s">
        <v>223</v>
      </c>
      <c r="H158" s="56">
        <v>3.5293254799857197E-2</v>
      </c>
      <c r="I158" s="56">
        <v>3.5209483850774617E-2</v>
      </c>
      <c r="J158" s="56">
        <v>3.5209483850774617E-2</v>
      </c>
      <c r="K158" s="109">
        <v>3.6686900047905202E-2</v>
      </c>
      <c r="L158" s="109">
        <v>2.9626003143735424E-2</v>
      </c>
      <c r="M158" s="56">
        <v>2.1350283176465795E-2</v>
      </c>
      <c r="N158" s="56">
        <v>2.9573821822410147E-2</v>
      </c>
      <c r="O158" s="56">
        <v>5.4350379067621989E-2</v>
      </c>
      <c r="P158" s="56">
        <v>2.8781634331426852E-2</v>
      </c>
      <c r="Q158" s="56">
        <v>2.1150595930551602E-2</v>
      </c>
      <c r="R158" s="56">
        <v>3.6512236345534958E-2</v>
      </c>
      <c r="S158" s="56">
        <v>1.8886813703151893E-2</v>
      </c>
      <c r="T158" s="56">
        <v>4.5773882170198593E-2</v>
      </c>
      <c r="U158" s="56">
        <v>1.0411510490043024E-2</v>
      </c>
      <c r="V158" s="56">
        <v>3.2720016831703329E-2</v>
      </c>
      <c r="W158" s="56">
        <v>3.5080331056032088E-2</v>
      </c>
      <c r="X158" s="56">
        <v>2.410007284765359E-2</v>
      </c>
      <c r="Y158" s="56">
        <v>2.9985829307818585E-2</v>
      </c>
      <c r="AA158" s="56">
        <v>3.6686900047905202E-2</v>
      </c>
      <c r="AB158" s="57"/>
      <c r="AD158" s="56">
        <v>2.9626003143735424E-2</v>
      </c>
      <c r="AE158" s="57"/>
    </row>
    <row r="159" spans="1:31" ht="6.95" customHeight="1" x14ac:dyDescent="0.2">
      <c r="C159" s="4"/>
      <c r="D159" s="4"/>
      <c r="F159" s="96"/>
      <c r="H159" s="16"/>
      <c r="I159" s="16"/>
      <c r="J159" s="16"/>
      <c r="K159" s="85"/>
      <c r="L159" s="85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AA159" s="16"/>
      <c r="AB159" s="20"/>
      <c r="AD159" s="16"/>
      <c r="AE159" s="20"/>
    </row>
    <row r="160" spans="1:31" ht="18" customHeight="1" x14ac:dyDescent="0.2">
      <c r="A160" s="30" t="s">
        <v>89</v>
      </c>
      <c r="B160" s="30" t="s">
        <v>18</v>
      </c>
      <c r="C160" s="4">
        <v>0.08</v>
      </c>
      <c r="D160" s="4">
        <v>0.29230769230769232</v>
      </c>
      <c r="F160" s="106" t="s">
        <v>187</v>
      </c>
      <c r="H160" s="61">
        <v>-0.88600000000000001</v>
      </c>
      <c r="I160" s="61">
        <v>-1.0089999999999999</v>
      </c>
      <c r="J160" s="61">
        <v>-1.0089999999999999</v>
      </c>
      <c r="K160" s="86">
        <v>-1</v>
      </c>
      <c r="L160" s="86">
        <v>-1.3</v>
      </c>
      <c r="M160" s="61">
        <v>-1.4999999999999999E-2</v>
      </c>
      <c r="N160" s="61">
        <v>-0.06</v>
      </c>
      <c r="O160" s="61">
        <v>-0.251</v>
      </c>
      <c r="P160" s="61">
        <v>-3.999999999999998E-2</v>
      </c>
      <c r="Q160" s="61">
        <v>-8.4000000000000019E-2</v>
      </c>
      <c r="R160" s="61">
        <v>-0.10700000000000004</v>
      </c>
      <c r="S160" s="61">
        <v>-5.0000000000000044E-3</v>
      </c>
      <c r="T160" s="61">
        <v>-0.11699999999999999</v>
      </c>
      <c r="U160" s="61">
        <v>-9.9999999999999978E-2</v>
      </c>
      <c r="V160" s="61">
        <v>-7.8999999999999959E-2</v>
      </c>
      <c r="W160" s="61">
        <v>-5.0000000000000044E-2</v>
      </c>
      <c r="X160" s="61">
        <v>-1.5000000000000013E-2</v>
      </c>
      <c r="Y160" s="61">
        <v>-0.92300000000000004</v>
      </c>
      <c r="AA160" s="61">
        <v>-1</v>
      </c>
      <c r="AB160" s="60">
        <v>0.08</v>
      </c>
      <c r="AD160" s="61">
        <v>-1.3</v>
      </c>
      <c r="AE160" s="60">
        <v>0.38</v>
      </c>
    </row>
    <row r="161" spans="1:31" ht="18" customHeight="1" x14ac:dyDescent="0.2">
      <c r="A161" s="30" t="s">
        <v>75</v>
      </c>
      <c r="B161" s="30" t="s">
        <v>18</v>
      </c>
      <c r="C161" s="4">
        <v>-1.2000000000000002</v>
      </c>
      <c r="D161" s="4">
        <v>0.17500000000000002</v>
      </c>
      <c r="F161" s="106" t="s">
        <v>94</v>
      </c>
      <c r="H161" s="61">
        <v>-3.7320000000000002</v>
      </c>
      <c r="I161" s="61">
        <v>-6.7279999999999998</v>
      </c>
      <c r="J161" s="61">
        <v>-6.7279999999999998</v>
      </c>
      <c r="K161" s="86">
        <v>-4.5</v>
      </c>
      <c r="L161" s="86">
        <v>-12</v>
      </c>
      <c r="M161" s="61">
        <v>-0.83699999999999997</v>
      </c>
      <c r="N161" s="61">
        <v>-0.871</v>
      </c>
      <c r="O161" s="61">
        <v>-0.46900000000000008</v>
      </c>
      <c r="P161" s="61">
        <v>-0.81599999999999984</v>
      </c>
      <c r="Q161" s="61">
        <v>-0.47100000000000009</v>
      </c>
      <c r="R161" s="61">
        <v>-0.46300000000000008</v>
      </c>
      <c r="S161" s="61">
        <v>-1.5070000000000001</v>
      </c>
      <c r="T161" s="61">
        <v>-1.133</v>
      </c>
      <c r="U161" s="61">
        <v>-1.645999999999999</v>
      </c>
      <c r="V161" s="61">
        <v>-1.3960000000000008</v>
      </c>
      <c r="W161" s="61">
        <v>0.54299999999999926</v>
      </c>
      <c r="X161" s="61">
        <v>-0.83399999999999963</v>
      </c>
      <c r="Y161" s="61">
        <v>-9.9</v>
      </c>
      <c r="AA161" s="61">
        <v>-4.5</v>
      </c>
      <c r="AB161" s="60">
        <v>-5.4</v>
      </c>
      <c r="AD161" s="61">
        <v>-12</v>
      </c>
      <c r="AE161" s="60">
        <v>2.1</v>
      </c>
    </row>
    <row r="162" spans="1:31" ht="18" customHeight="1" x14ac:dyDescent="0.2">
      <c r="A162" s="30" t="s">
        <v>91</v>
      </c>
      <c r="B162" s="30" t="s">
        <v>18</v>
      </c>
      <c r="C162" s="4">
        <v>-0.3241379310344828</v>
      </c>
      <c r="D162" s="4">
        <v>-1.0526315789473684E-2</v>
      </c>
      <c r="F162" s="106" t="s">
        <v>96</v>
      </c>
      <c r="H162" s="61">
        <v>-8.4459999999999997</v>
      </c>
      <c r="I162" s="61">
        <v>-22.181999999999999</v>
      </c>
      <c r="J162" s="61">
        <v>-22.181999999999999</v>
      </c>
      <c r="K162" s="86">
        <v>-14.5</v>
      </c>
      <c r="L162" s="86">
        <v>-19</v>
      </c>
      <c r="M162" s="61">
        <v>-2.0590000000000002</v>
      </c>
      <c r="N162" s="61">
        <v>-1.8399999999999999</v>
      </c>
      <c r="O162" s="61">
        <v>-1.8579999999999997</v>
      </c>
      <c r="P162" s="61">
        <v>-0.72599999999999998</v>
      </c>
      <c r="Q162" s="61">
        <v>-1.1779999999999999</v>
      </c>
      <c r="R162" s="61">
        <v>-1.6850000000000005</v>
      </c>
      <c r="S162" s="61">
        <v>-1.7669999999999995</v>
      </c>
      <c r="T162" s="61">
        <v>-1.1850000000000005</v>
      </c>
      <c r="U162" s="61">
        <v>-1.3109999999999999</v>
      </c>
      <c r="V162" s="61">
        <v>-1.5299999999999994</v>
      </c>
      <c r="W162" s="61">
        <v>-1.7980000000000018</v>
      </c>
      <c r="X162" s="61">
        <v>-2.259999999999998</v>
      </c>
      <c r="Y162" s="61">
        <v>-19.196999999999999</v>
      </c>
      <c r="AA162" s="61">
        <v>-14.5</v>
      </c>
      <c r="AB162" s="60">
        <v>-4.7</v>
      </c>
      <c r="AD162" s="61">
        <v>-19</v>
      </c>
      <c r="AE162" s="60">
        <v>-0.2</v>
      </c>
    </row>
    <row r="163" spans="1:31" ht="18" customHeight="1" x14ac:dyDescent="0.2">
      <c r="A163" s="30" t="s">
        <v>74</v>
      </c>
      <c r="B163" s="30" t="s">
        <v>18</v>
      </c>
      <c r="C163" s="4">
        <v>0.13444444444444445</v>
      </c>
      <c r="D163" s="4">
        <v>0.2580952380952381</v>
      </c>
      <c r="F163" s="106" t="s">
        <v>97</v>
      </c>
      <c r="H163" s="61">
        <v>-8.0090000000000003</v>
      </c>
      <c r="I163" s="61">
        <v>-8.0220000000000002</v>
      </c>
      <c r="J163" s="61">
        <v>-8.0220000000000002</v>
      </c>
      <c r="K163" s="86">
        <v>-9</v>
      </c>
      <c r="L163" s="86">
        <v>-10.5</v>
      </c>
      <c r="M163" s="61">
        <v>-0.60299999999999998</v>
      </c>
      <c r="N163" s="61">
        <v>-0.64300000000000002</v>
      </c>
      <c r="O163" s="61">
        <v>-0.65199999999999991</v>
      </c>
      <c r="P163" s="61">
        <v>-0.66100000000000025</v>
      </c>
      <c r="Q163" s="61">
        <v>-0.63599999999999968</v>
      </c>
      <c r="R163" s="61">
        <v>-0.66500000000000004</v>
      </c>
      <c r="S163" s="61">
        <v>-0.68699999999999983</v>
      </c>
      <c r="T163" s="61">
        <v>-0.92300000000000004</v>
      </c>
      <c r="U163" s="61">
        <v>-0.71799999999999997</v>
      </c>
      <c r="V163" s="61">
        <v>-0.70000000000000018</v>
      </c>
      <c r="W163" s="61">
        <v>-0.32500000000000018</v>
      </c>
      <c r="X163" s="61">
        <v>-0.58000000000000007</v>
      </c>
      <c r="Y163" s="61">
        <v>-7.7930000000000001</v>
      </c>
      <c r="AA163" s="61">
        <v>-9</v>
      </c>
      <c r="AB163" s="60">
        <v>1.21</v>
      </c>
      <c r="AD163" s="61">
        <v>-10.5</v>
      </c>
      <c r="AE163" s="60">
        <v>2.71</v>
      </c>
    </row>
    <row r="164" spans="1:31" ht="18" customHeight="1" x14ac:dyDescent="0.2">
      <c r="A164" s="30" t="s">
        <v>92</v>
      </c>
      <c r="B164" s="30" t="s">
        <v>18</v>
      </c>
      <c r="C164" s="4">
        <v>0.5080831408775982</v>
      </c>
      <c r="D164" s="4">
        <v>0.5080831408775982</v>
      </c>
      <c r="F164" s="106" t="s">
        <v>98</v>
      </c>
      <c r="H164" s="61">
        <v>-2.0950000000000002</v>
      </c>
      <c r="I164" s="61">
        <v>-1.4019999999999999</v>
      </c>
      <c r="J164" s="61">
        <v>-1.4019999999999999</v>
      </c>
      <c r="K164" s="86">
        <v>-0.433</v>
      </c>
      <c r="L164" s="86">
        <v>-0.433</v>
      </c>
      <c r="M164" s="61">
        <v>-2.9000000000000001E-2</v>
      </c>
      <c r="N164" s="61">
        <v>-2.8000000000000001E-2</v>
      </c>
      <c r="O164" s="61">
        <v>-2.8999999999999991E-2</v>
      </c>
      <c r="P164" s="61">
        <v>-2.1000000000000005E-2</v>
      </c>
      <c r="Q164" s="61">
        <v>-2.0000000000000004E-2</v>
      </c>
      <c r="R164" s="61">
        <v>-2.0999999999999991E-2</v>
      </c>
      <c r="S164" s="61">
        <v>-2.0000000000000018E-2</v>
      </c>
      <c r="T164" s="61">
        <v>-1.999999999999999E-2</v>
      </c>
      <c r="U164" s="61">
        <v>-2.0999999999999991E-2</v>
      </c>
      <c r="V164" s="61">
        <v>-7.0000000000000062E-3</v>
      </c>
      <c r="W164" s="61">
        <v>0</v>
      </c>
      <c r="X164" s="61">
        <v>0</v>
      </c>
      <c r="Y164" s="61">
        <v>-0.216</v>
      </c>
      <c r="AA164" s="61">
        <v>-0.433</v>
      </c>
      <c r="AB164" s="60">
        <v>0.22</v>
      </c>
      <c r="AD164" s="61">
        <v>-0.433</v>
      </c>
      <c r="AE164" s="60">
        <v>0.22</v>
      </c>
    </row>
    <row r="165" spans="1:31" ht="18" customHeight="1" x14ac:dyDescent="0.2">
      <c r="A165" s="30" t="s">
        <v>125</v>
      </c>
      <c r="B165" s="30" t="s">
        <v>18</v>
      </c>
      <c r="C165" s="4">
        <v>0.99818181818181817</v>
      </c>
      <c r="D165" s="4">
        <v>0.995</v>
      </c>
      <c r="F165" s="106" t="s">
        <v>126</v>
      </c>
      <c r="H165" s="61">
        <v>-3.9390000000000001</v>
      </c>
      <c r="I165" s="61">
        <v>-1.278</v>
      </c>
      <c r="J165" s="61">
        <v>-1.278</v>
      </c>
      <c r="K165" s="86">
        <v>-5.5</v>
      </c>
      <c r="L165" s="86">
        <v>-2</v>
      </c>
      <c r="M165" s="61">
        <v>-1.2999999999999999E-2</v>
      </c>
      <c r="N165" s="61">
        <v>0</v>
      </c>
      <c r="O165" s="61">
        <v>0</v>
      </c>
      <c r="P165" s="61">
        <v>0</v>
      </c>
      <c r="Q165" s="61">
        <v>0</v>
      </c>
      <c r="R165" s="61">
        <v>0</v>
      </c>
      <c r="S165" s="61">
        <v>0</v>
      </c>
      <c r="T165" s="61">
        <v>0</v>
      </c>
      <c r="U165" s="61">
        <v>0</v>
      </c>
      <c r="V165" s="61">
        <v>0</v>
      </c>
      <c r="W165" s="61">
        <v>0</v>
      </c>
      <c r="X165" s="61">
        <v>0</v>
      </c>
      <c r="Y165" s="61">
        <v>-1.2999999999999999E-2</v>
      </c>
      <c r="AA165" s="61">
        <v>-5.5</v>
      </c>
      <c r="AB165" s="60">
        <v>5.49</v>
      </c>
      <c r="AD165" s="61">
        <v>-2</v>
      </c>
      <c r="AE165" s="60">
        <v>1.99</v>
      </c>
    </row>
    <row r="166" spans="1:31" ht="18" hidden="1" customHeight="1" outlineLevel="1" x14ac:dyDescent="0.2">
      <c r="A166" s="30" t="s">
        <v>73</v>
      </c>
      <c r="B166" s="30" t="s">
        <v>18</v>
      </c>
      <c r="C166" s="4">
        <v>0</v>
      </c>
      <c r="D166" s="4">
        <v>0</v>
      </c>
      <c r="F166" s="38" t="s">
        <v>72</v>
      </c>
      <c r="G166" s="34"/>
      <c r="H166" s="66">
        <v>0</v>
      </c>
      <c r="I166" s="66">
        <v>0</v>
      </c>
      <c r="J166" s="66">
        <v>0</v>
      </c>
      <c r="K166" s="86">
        <v>0</v>
      </c>
      <c r="L166" s="8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34"/>
      <c r="AA166" s="66">
        <v>0</v>
      </c>
      <c r="AB166" s="60">
        <v>0</v>
      </c>
      <c r="AC166" s="34"/>
      <c r="AD166" s="66">
        <v>0</v>
      </c>
      <c r="AE166" s="60">
        <v>0</v>
      </c>
    </row>
    <row r="167" spans="1:31" ht="18" hidden="1" customHeight="1" outlineLevel="1" x14ac:dyDescent="0.2">
      <c r="A167" s="30" t="s">
        <v>129</v>
      </c>
      <c r="B167" s="30" t="s">
        <v>18</v>
      </c>
      <c r="C167" s="4">
        <v>0</v>
      </c>
      <c r="D167" s="4">
        <v>0</v>
      </c>
      <c r="F167" s="38" t="s">
        <v>190</v>
      </c>
      <c r="G167" s="34"/>
      <c r="H167" s="66">
        <v>0</v>
      </c>
      <c r="I167" s="66">
        <v>0</v>
      </c>
      <c r="J167" s="66">
        <v>0</v>
      </c>
      <c r="K167" s="86">
        <v>0</v>
      </c>
      <c r="L167" s="8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34"/>
      <c r="AA167" s="66">
        <v>0</v>
      </c>
      <c r="AB167" s="60">
        <v>0</v>
      </c>
      <c r="AC167" s="34"/>
      <c r="AD167" s="66">
        <v>0</v>
      </c>
      <c r="AE167" s="60">
        <v>0</v>
      </c>
    </row>
    <row r="168" spans="1:31" ht="18" hidden="1" customHeight="1" outlineLevel="1" x14ac:dyDescent="0.2">
      <c r="A168" s="30" t="s">
        <v>172</v>
      </c>
      <c r="B168" s="30" t="s">
        <v>18</v>
      </c>
      <c r="C168" s="4">
        <v>0</v>
      </c>
      <c r="D168" s="4">
        <v>0</v>
      </c>
      <c r="F168" s="38" t="s">
        <v>173</v>
      </c>
      <c r="G168" s="34"/>
      <c r="H168" s="66">
        <v>0</v>
      </c>
      <c r="I168" s="66">
        <v>0</v>
      </c>
      <c r="J168" s="66">
        <v>0</v>
      </c>
      <c r="K168" s="86">
        <v>0</v>
      </c>
      <c r="L168" s="86">
        <v>0</v>
      </c>
      <c r="M168" s="66">
        <v>0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34"/>
      <c r="AA168" s="66">
        <v>0</v>
      </c>
      <c r="AB168" s="60">
        <v>0</v>
      </c>
      <c r="AC168" s="34"/>
      <c r="AD168" s="66">
        <v>0</v>
      </c>
      <c r="AE168" s="60">
        <v>0</v>
      </c>
    </row>
    <row r="169" spans="1:31" ht="18" hidden="1" customHeight="1" outlineLevel="1" x14ac:dyDescent="0.2">
      <c r="A169" s="30" t="s">
        <v>88</v>
      </c>
      <c r="B169" s="30" t="s">
        <v>18</v>
      </c>
      <c r="C169" s="4">
        <v>0</v>
      </c>
      <c r="D169" s="4">
        <v>0</v>
      </c>
      <c r="F169" s="38" t="s">
        <v>93</v>
      </c>
      <c r="G169" s="34"/>
      <c r="H169" s="66">
        <v>0</v>
      </c>
      <c r="I169" s="66">
        <v>0</v>
      </c>
      <c r="J169" s="66">
        <v>0</v>
      </c>
      <c r="K169" s="86">
        <v>0</v>
      </c>
      <c r="L169" s="8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34"/>
      <c r="AA169" s="66">
        <v>0</v>
      </c>
      <c r="AB169" s="60">
        <v>0</v>
      </c>
      <c r="AC169" s="34"/>
      <c r="AD169" s="66">
        <v>0</v>
      </c>
      <c r="AE169" s="60">
        <v>0</v>
      </c>
    </row>
    <row r="170" spans="1:31" ht="18" hidden="1" customHeight="1" outlineLevel="1" x14ac:dyDescent="0.2">
      <c r="A170" s="30" t="s">
        <v>174</v>
      </c>
      <c r="B170" s="30" t="s">
        <v>18</v>
      </c>
      <c r="C170" s="4">
        <v>0</v>
      </c>
      <c r="D170" s="4">
        <v>0</v>
      </c>
      <c r="F170" s="38" t="s">
        <v>175</v>
      </c>
      <c r="G170" s="34"/>
      <c r="H170" s="66">
        <v>0</v>
      </c>
      <c r="I170" s="66">
        <v>0</v>
      </c>
      <c r="J170" s="66">
        <v>0</v>
      </c>
      <c r="K170" s="86">
        <v>0</v>
      </c>
      <c r="L170" s="8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34"/>
      <c r="AA170" s="66">
        <v>0</v>
      </c>
      <c r="AB170" s="60">
        <v>0</v>
      </c>
      <c r="AC170" s="34"/>
      <c r="AD170" s="66">
        <v>0</v>
      </c>
      <c r="AE170" s="60">
        <v>0</v>
      </c>
    </row>
    <row r="171" spans="1:31" ht="18" hidden="1" customHeight="1" outlineLevel="1" x14ac:dyDescent="0.2">
      <c r="A171" s="30" t="s">
        <v>130</v>
      </c>
      <c r="B171" s="30" t="s">
        <v>18</v>
      </c>
      <c r="C171" s="4">
        <v>0</v>
      </c>
      <c r="D171" s="4">
        <v>0</v>
      </c>
      <c r="F171" s="38" t="s">
        <v>176</v>
      </c>
      <c r="G171" s="34"/>
      <c r="H171" s="66">
        <v>0</v>
      </c>
      <c r="I171" s="66">
        <v>0</v>
      </c>
      <c r="J171" s="66">
        <v>0</v>
      </c>
      <c r="K171" s="86">
        <v>0</v>
      </c>
      <c r="L171" s="8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34"/>
      <c r="AA171" s="66">
        <v>0</v>
      </c>
      <c r="AB171" s="60">
        <v>0</v>
      </c>
      <c r="AC171" s="34"/>
      <c r="AD171" s="66">
        <v>0</v>
      </c>
      <c r="AE171" s="60">
        <v>0</v>
      </c>
    </row>
    <row r="172" spans="1:31" ht="18" hidden="1" customHeight="1" outlineLevel="1" x14ac:dyDescent="0.2">
      <c r="A172" s="30" t="s">
        <v>177</v>
      </c>
      <c r="B172" s="30" t="s">
        <v>18</v>
      </c>
      <c r="C172" s="4">
        <v>0</v>
      </c>
      <c r="D172" s="4">
        <v>0</v>
      </c>
      <c r="F172" s="38" t="s">
        <v>178</v>
      </c>
      <c r="G172" s="34"/>
      <c r="H172" s="66">
        <v>0</v>
      </c>
      <c r="I172" s="66">
        <v>0</v>
      </c>
      <c r="J172" s="66">
        <v>0</v>
      </c>
      <c r="K172" s="86">
        <v>0</v>
      </c>
      <c r="L172" s="8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34"/>
      <c r="AA172" s="66">
        <v>0</v>
      </c>
      <c r="AB172" s="60">
        <v>0</v>
      </c>
      <c r="AC172" s="34"/>
      <c r="AD172" s="66">
        <v>0</v>
      </c>
      <c r="AE172" s="60">
        <v>0</v>
      </c>
    </row>
    <row r="173" spans="1:31" ht="18" hidden="1" customHeight="1" outlineLevel="1" x14ac:dyDescent="0.2">
      <c r="A173" s="30" t="s">
        <v>179</v>
      </c>
      <c r="B173" s="30" t="s">
        <v>18</v>
      </c>
      <c r="C173" s="4">
        <v>0</v>
      </c>
      <c r="D173" s="4">
        <v>0</v>
      </c>
      <c r="F173" s="38" t="s">
        <v>180</v>
      </c>
      <c r="G173" s="34"/>
      <c r="H173" s="66">
        <v>0</v>
      </c>
      <c r="I173" s="66">
        <v>0</v>
      </c>
      <c r="J173" s="66">
        <v>0</v>
      </c>
      <c r="K173" s="86">
        <v>0</v>
      </c>
      <c r="L173" s="8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34"/>
      <c r="AA173" s="66">
        <v>0</v>
      </c>
      <c r="AB173" s="60">
        <v>0</v>
      </c>
      <c r="AC173" s="34"/>
      <c r="AD173" s="66">
        <v>0</v>
      </c>
      <c r="AE173" s="60">
        <v>0</v>
      </c>
    </row>
    <row r="174" spans="1:31" ht="18" hidden="1" customHeight="1" outlineLevel="1" x14ac:dyDescent="0.2">
      <c r="A174" s="30" t="s">
        <v>78</v>
      </c>
      <c r="B174" s="30" t="s">
        <v>18</v>
      </c>
      <c r="C174" s="4">
        <v>0</v>
      </c>
      <c r="D174" s="4">
        <v>0</v>
      </c>
      <c r="F174" s="38" t="s">
        <v>77</v>
      </c>
      <c r="G174" s="34"/>
      <c r="H174" s="66">
        <v>0</v>
      </c>
      <c r="I174" s="66">
        <v>0</v>
      </c>
      <c r="J174" s="66">
        <v>0</v>
      </c>
      <c r="K174" s="86">
        <v>0</v>
      </c>
      <c r="L174" s="8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34"/>
      <c r="AA174" s="66">
        <v>0</v>
      </c>
      <c r="AB174" s="60">
        <v>0</v>
      </c>
      <c r="AC174" s="34"/>
      <c r="AD174" s="66">
        <v>0</v>
      </c>
      <c r="AE174" s="60">
        <v>0</v>
      </c>
    </row>
    <row r="175" spans="1:31" ht="18" hidden="1" customHeight="1" outlineLevel="1" x14ac:dyDescent="0.2">
      <c r="A175" s="30" t="s">
        <v>193</v>
      </c>
      <c r="B175" s="30" t="s">
        <v>18</v>
      </c>
      <c r="C175" s="4">
        <v>0</v>
      </c>
      <c r="D175" s="4">
        <v>0</v>
      </c>
      <c r="F175" s="38" t="s">
        <v>268</v>
      </c>
      <c r="G175" s="34"/>
      <c r="H175" s="66">
        <v>0</v>
      </c>
      <c r="I175" s="66">
        <v>0</v>
      </c>
      <c r="J175" s="66">
        <v>0</v>
      </c>
      <c r="K175" s="86">
        <v>0</v>
      </c>
      <c r="L175" s="8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34"/>
      <c r="AA175" s="66">
        <v>0</v>
      </c>
      <c r="AB175" s="60">
        <v>0</v>
      </c>
      <c r="AC175" s="34"/>
      <c r="AD175" s="66">
        <v>0</v>
      </c>
      <c r="AE175" s="60">
        <v>0</v>
      </c>
    </row>
    <row r="176" spans="1:31" ht="18" hidden="1" customHeight="1" outlineLevel="1" x14ac:dyDescent="0.2">
      <c r="A176" s="30" t="s">
        <v>181</v>
      </c>
      <c r="B176" s="30" t="s">
        <v>18</v>
      </c>
      <c r="C176" s="4">
        <v>0</v>
      </c>
      <c r="D176" s="4">
        <v>0</v>
      </c>
      <c r="F176" s="38" t="s">
        <v>182</v>
      </c>
      <c r="G176" s="34"/>
      <c r="H176" s="66">
        <v>0</v>
      </c>
      <c r="I176" s="66">
        <v>0</v>
      </c>
      <c r="J176" s="66">
        <v>0</v>
      </c>
      <c r="K176" s="86">
        <v>0</v>
      </c>
      <c r="L176" s="8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34"/>
      <c r="AA176" s="66">
        <v>0</v>
      </c>
      <c r="AB176" s="60">
        <v>0</v>
      </c>
      <c r="AC176" s="34"/>
      <c r="AD176" s="66">
        <v>0</v>
      </c>
      <c r="AE176" s="60">
        <v>0</v>
      </c>
    </row>
    <row r="177" spans="1:31" ht="18" hidden="1" customHeight="1" outlineLevel="1" x14ac:dyDescent="0.2">
      <c r="A177" s="30" t="s">
        <v>90</v>
      </c>
      <c r="B177" s="30" t="s">
        <v>18</v>
      </c>
      <c r="C177" s="4">
        <v>-1.0105263157894737</v>
      </c>
      <c r="D177" s="4">
        <v>-2.1276595744680854E-2</v>
      </c>
      <c r="F177" s="38" t="s">
        <v>95</v>
      </c>
      <c r="G177" s="34"/>
      <c r="H177" s="66">
        <v>0</v>
      </c>
      <c r="I177" s="66">
        <v>0</v>
      </c>
      <c r="J177" s="66">
        <v>0</v>
      </c>
      <c r="K177" s="86">
        <v>0</v>
      </c>
      <c r="L177" s="86">
        <v>-0.47</v>
      </c>
      <c r="M177" s="66">
        <v>0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-0.47499999999999998</v>
      </c>
      <c r="W177" s="66">
        <v>0</v>
      </c>
      <c r="X177" s="66">
        <v>0</v>
      </c>
      <c r="Y177" s="66">
        <v>-0.47499999999999998</v>
      </c>
      <c r="Z177" s="34"/>
      <c r="AA177" s="66">
        <v>0</v>
      </c>
      <c r="AB177" s="60">
        <v>-0.48</v>
      </c>
      <c r="AC177" s="34"/>
      <c r="AD177" s="66">
        <v>-0.47</v>
      </c>
      <c r="AE177" s="60">
        <v>-0.01</v>
      </c>
    </row>
    <row r="178" spans="1:31" ht="18" hidden="1" customHeight="1" outlineLevel="1" x14ac:dyDescent="0.2">
      <c r="A178" s="30" t="s">
        <v>127</v>
      </c>
      <c r="B178" s="30" t="s">
        <v>18</v>
      </c>
      <c r="C178" s="4">
        <v>-0.99273607748184023</v>
      </c>
      <c r="D178" s="4">
        <v>0</v>
      </c>
      <c r="F178" s="38" t="s">
        <v>128</v>
      </c>
      <c r="G178" s="34"/>
      <c r="H178" s="66">
        <v>0</v>
      </c>
      <c r="I178" s="66">
        <v>0</v>
      </c>
      <c r="J178" s="66">
        <v>0</v>
      </c>
      <c r="K178" s="86">
        <v>0</v>
      </c>
      <c r="L178" s="86">
        <v>-0.41</v>
      </c>
      <c r="M178" s="66">
        <v>0</v>
      </c>
      <c r="N178" s="66">
        <v>0</v>
      </c>
      <c r="O178" s="66">
        <v>0</v>
      </c>
      <c r="P178" s="66">
        <v>0</v>
      </c>
      <c r="Q178" s="66">
        <v>0</v>
      </c>
      <c r="R178" s="66">
        <v>-0.41299999999999998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-0.41299999999999998</v>
      </c>
      <c r="Z178" s="34"/>
      <c r="AA178" s="66">
        <v>0</v>
      </c>
      <c r="AB178" s="60">
        <v>-0.41</v>
      </c>
      <c r="AC178" s="34"/>
      <c r="AD178" s="66">
        <v>-0.41</v>
      </c>
      <c r="AE178" s="60">
        <v>0</v>
      </c>
    </row>
    <row r="179" spans="1:31" s="209" customFormat="1" ht="18" hidden="1" customHeight="1" outlineLevel="1" x14ac:dyDescent="0.2">
      <c r="A179" s="232" t="s">
        <v>261</v>
      </c>
      <c r="B179" s="210" t="s">
        <v>18</v>
      </c>
      <c r="C179" s="208">
        <v>0</v>
      </c>
      <c r="D179" s="208">
        <v>0</v>
      </c>
      <c r="F179" s="223" t="s">
        <v>262</v>
      </c>
      <c r="G179" s="211"/>
      <c r="H179" s="215">
        <v>0</v>
      </c>
      <c r="I179" s="215">
        <v>0</v>
      </c>
      <c r="J179" s="215">
        <v>0</v>
      </c>
      <c r="K179" s="216">
        <v>0</v>
      </c>
      <c r="L179" s="216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  <c r="R179" s="215">
        <v>0</v>
      </c>
      <c r="S179" s="215">
        <v>0</v>
      </c>
      <c r="T179" s="215">
        <v>0</v>
      </c>
      <c r="U179" s="215">
        <v>0</v>
      </c>
      <c r="V179" s="215">
        <v>0</v>
      </c>
      <c r="W179" s="215">
        <v>0</v>
      </c>
      <c r="X179" s="215">
        <v>0</v>
      </c>
      <c r="Y179" s="215">
        <v>0</v>
      </c>
      <c r="Z179" s="211"/>
      <c r="AA179" s="215">
        <v>0</v>
      </c>
      <c r="AB179" s="214">
        <v>0</v>
      </c>
      <c r="AC179" s="211"/>
      <c r="AD179" s="215">
        <v>0</v>
      </c>
      <c r="AE179" s="214">
        <v>0</v>
      </c>
    </row>
    <row r="180" spans="1:31" ht="18" hidden="1" customHeight="1" outlineLevel="1" x14ac:dyDescent="0.2">
      <c r="A180" s="30" t="s">
        <v>199</v>
      </c>
      <c r="B180" s="30" t="s">
        <v>18</v>
      </c>
      <c r="C180" s="4">
        <v>0</v>
      </c>
      <c r="D180" s="4">
        <v>0</v>
      </c>
      <c r="F180" s="38" t="s">
        <v>184</v>
      </c>
      <c r="G180" s="34"/>
      <c r="H180" s="66">
        <v>0</v>
      </c>
      <c r="I180" s="66">
        <v>0</v>
      </c>
      <c r="J180" s="66">
        <v>0</v>
      </c>
      <c r="K180" s="86">
        <v>0</v>
      </c>
      <c r="L180" s="8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34"/>
      <c r="AA180" s="66">
        <v>0</v>
      </c>
      <c r="AB180" s="60">
        <v>0</v>
      </c>
      <c r="AC180" s="34"/>
      <c r="AD180" s="66">
        <v>0</v>
      </c>
      <c r="AE180" s="60">
        <v>0</v>
      </c>
    </row>
    <row r="181" spans="1:31" ht="18" hidden="1" customHeight="1" outlineLevel="1" x14ac:dyDescent="0.2">
      <c r="A181" s="30" t="s">
        <v>263</v>
      </c>
      <c r="B181" s="30" t="s">
        <v>18</v>
      </c>
      <c r="C181" s="4">
        <v>0</v>
      </c>
      <c r="D181" s="4">
        <v>0</v>
      </c>
      <c r="F181" s="38" t="s">
        <v>273</v>
      </c>
      <c r="G181" s="34"/>
      <c r="H181" s="66">
        <v>0</v>
      </c>
      <c r="I181" s="66">
        <v>0</v>
      </c>
      <c r="J181" s="66">
        <v>0</v>
      </c>
      <c r="K181" s="86">
        <v>0</v>
      </c>
      <c r="L181" s="8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34"/>
      <c r="AA181" s="66">
        <v>0</v>
      </c>
      <c r="AB181" s="60">
        <v>0</v>
      </c>
      <c r="AC181" s="34"/>
      <c r="AD181" s="66">
        <v>0</v>
      </c>
      <c r="AE181" s="60">
        <v>0</v>
      </c>
    </row>
    <row r="182" spans="1:31" ht="18" hidden="1" customHeight="1" outlineLevel="1" x14ac:dyDescent="0.2">
      <c r="A182" s="30" t="s">
        <v>195</v>
      </c>
      <c r="B182" s="30" t="s">
        <v>18</v>
      </c>
      <c r="C182" s="4">
        <v>0</v>
      </c>
      <c r="D182" s="4">
        <v>0</v>
      </c>
      <c r="F182" s="38" t="s">
        <v>196</v>
      </c>
      <c r="G182" s="34"/>
      <c r="H182" s="66">
        <v>0</v>
      </c>
      <c r="I182" s="66">
        <v>0</v>
      </c>
      <c r="J182" s="66">
        <v>0</v>
      </c>
      <c r="K182" s="86">
        <v>0</v>
      </c>
      <c r="L182" s="8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34"/>
      <c r="AA182" s="66">
        <v>0</v>
      </c>
      <c r="AB182" s="60">
        <v>0</v>
      </c>
      <c r="AC182" s="34"/>
      <c r="AD182" s="66">
        <v>0</v>
      </c>
      <c r="AE182" s="60">
        <v>0</v>
      </c>
    </row>
    <row r="183" spans="1:31" ht="18" hidden="1" customHeight="1" outlineLevel="1" x14ac:dyDescent="0.2">
      <c r="A183" s="30" t="s">
        <v>197</v>
      </c>
      <c r="B183" s="30" t="s">
        <v>18</v>
      </c>
      <c r="C183" s="4">
        <v>0</v>
      </c>
      <c r="D183" s="4">
        <v>0</v>
      </c>
      <c r="F183" s="38" t="s">
        <v>267</v>
      </c>
      <c r="G183" s="34"/>
      <c r="H183" s="66">
        <v>0</v>
      </c>
      <c r="I183" s="66">
        <v>0</v>
      </c>
      <c r="J183" s="66">
        <v>0</v>
      </c>
      <c r="K183" s="86">
        <v>0</v>
      </c>
      <c r="L183" s="8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34"/>
      <c r="AA183" s="66">
        <v>0</v>
      </c>
      <c r="AB183" s="60">
        <v>0</v>
      </c>
      <c r="AC183" s="34"/>
      <c r="AD183" s="66">
        <v>0</v>
      </c>
      <c r="AE183" s="60">
        <v>0</v>
      </c>
    </row>
    <row r="184" spans="1:31" s="237" customFormat="1" ht="18" hidden="1" customHeight="1" outlineLevel="1" x14ac:dyDescent="0.2">
      <c r="A184" s="254" t="s">
        <v>445</v>
      </c>
      <c r="B184" s="238" t="s">
        <v>18</v>
      </c>
      <c r="C184" s="236">
        <v>-0.99932930918846408</v>
      </c>
      <c r="D184" s="236">
        <v>6.8749999999999992E-2</v>
      </c>
      <c r="F184" s="248" t="s">
        <v>444</v>
      </c>
      <c r="G184" s="239"/>
      <c r="H184" s="241">
        <v>0</v>
      </c>
      <c r="I184" s="241">
        <v>-0.182</v>
      </c>
      <c r="J184" s="241">
        <v>-0.182</v>
      </c>
      <c r="K184" s="242">
        <v>0</v>
      </c>
      <c r="L184" s="242">
        <v>-1.6</v>
      </c>
      <c r="M184" s="241">
        <v>-6.2E-2</v>
      </c>
      <c r="N184" s="241">
        <v>-6.0999999999999999E-2</v>
      </c>
      <c r="O184" s="241">
        <v>-5.6999999999999995E-2</v>
      </c>
      <c r="P184" s="241">
        <v>-5.6999999999999995E-2</v>
      </c>
      <c r="Q184" s="241">
        <v>-5.7999999999999996E-2</v>
      </c>
      <c r="R184" s="241">
        <v>-5.6999999999999995E-2</v>
      </c>
      <c r="S184" s="241">
        <v>-5.7999999999999996E-2</v>
      </c>
      <c r="T184" s="241">
        <v>-0.79</v>
      </c>
      <c r="U184" s="241">
        <v>-7.2000000000000064E-2</v>
      </c>
      <c r="V184" s="241">
        <v>-7.2000000000000064E-2</v>
      </c>
      <c r="W184" s="241">
        <v>-7.1999999999999842E-2</v>
      </c>
      <c r="X184" s="241">
        <v>-7.5000000000000178E-2</v>
      </c>
      <c r="Y184" s="241">
        <v>-1.4910000000000001</v>
      </c>
      <c r="Z184" s="239"/>
      <c r="AA184" s="241">
        <v>0</v>
      </c>
      <c r="AB184" s="240">
        <v>-1.49</v>
      </c>
      <c r="AC184" s="239"/>
      <c r="AD184" s="241">
        <v>-1.6000000000000003</v>
      </c>
      <c r="AE184" s="240">
        <v>0.11</v>
      </c>
    </row>
    <row r="185" spans="1:31" ht="18" hidden="1" customHeight="1" outlineLevel="1" x14ac:dyDescent="0.2">
      <c r="A185" s="30" t="s">
        <v>257</v>
      </c>
      <c r="B185" s="30" t="s">
        <v>18</v>
      </c>
      <c r="C185" s="4">
        <v>0</v>
      </c>
      <c r="D185" s="4">
        <v>0</v>
      </c>
      <c r="F185" s="104" t="s">
        <v>260</v>
      </c>
      <c r="G185" s="36"/>
      <c r="H185" s="65">
        <v>0</v>
      </c>
      <c r="I185" s="65">
        <v>0</v>
      </c>
      <c r="J185" s="65">
        <v>0</v>
      </c>
      <c r="K185" s="90">
        <v>0</v>
      </c>
      <c r="L185" s="90">
        <v>0</v>
      </c>
      <c r="M185" s="65">
        <v>0</v>
      </c>
      <c r="N185" s="65">
        <v>0</v>
      </c>
      <c r="O185" s="65">
        <v>0</v>
      </c>
      <c r="P185" s="65">
        <v>0</v>
      </c>
      <c r="Q185" s="65">
        <v>0</v>
      </c>
      <c r="R185" s="65">
        <v>0</v>
      </c>
      <c r="S185" s="65">
        <v>0</v>
      </c>
      <c r="T185" s="65">
        <v>0</v>
      </c>
      <c r="U185" s="65">
        <v>0</v>
      </c>
      <c r="V185" s="65">
        <v>0</v>
      </c>
      <c r="W185" s="65">
        <v>0</v>
      </c>
      <c r="X185" s="65">
        <v>0</v>
      </c>
      <c r="Y185" s="65">
        <v>0</v>
      </c>
      <c r="Z185" s="36"/>
      <c r="AA185" s="65">
        <v>0</v>
      </c>
      <c r="AB185" s="60">
        <v>0</v>
      </c>
      <c r="AC185" s="36"/>
      <c r="AD185" s="65">
        <v>0</v>
      </c>
      <c r="AE185" s="60">
        <v>0</v>
      </c>
    </row>
    <row r="186" spans="1:31" ht="18" hidden="1" customHeight="1" outlineLevel="1" x14ac:dyDescent="0.2">
      <c r="A186" s="30" t="s">
        <v>200</v>
      </c>
      <c r="B186" s="30" t="s">
        <v>18</v>
      </c>
      <c r="C186" s="4">
        <v>0</v>
      </c>
      <c r="D186" s="4">
        <v>0</v>
      </c>
      <c r="F186" s="104" t="s">
        <v>183</v>
      </c>
      <c r="G186" s="36"/>
      <c r="H186" s="65">
        <v>0</v>
      </c>
      <c r="I186" s="65">
        <v>0</v>
      </c>
      <c r="J186" s="65">
        <v>0</v>
      </c>
      <c r="K186" s="90">
        <v>0</v>
      </c>
      <c r="L186" s="90">
        <v>0</v>
      </c>
      <c r="M186" s="65">
        <v>0</v>
      </c>
      <c r="N186" s="65">
        <v>0</v>
      </c>
      <c r="O186" s="65">
        <v>0</v>
      </c>
      <c r="P186" s="65">
        <v>0</v>
      </c>
      <c r="Q186" s="65">
        <v>0</v>
      </c>
      <c r="R186" s="65">
        <v>0</v>
      </c>
      <c r="S186" s="65">
        <v>0</v>
      </c>
      <c r="T186" s="65">
        <v>0</v>
      </c>
      <c r="U186" s="65">
        <v>0</v>
      </c>
      <c r="V186" s="65">
        <v>0</v>
      </c>
      <c r="W186" s="65">
        <v>0</v>
      </c>
      <c r="X186" s="65">
        <v>0</v>
      </c>
      <c r="Y186" s="65">
        <v>0</v>
      </c>
      <c r="Z186" s="36"/>
      <c r="AA186" s="65">
        <v>0</v>
      </c>
      <c r="AB186" s="60">
        <v>0</v>
      </c>
      <c r="AC186" s="36"/>
      <c r="AD186" s="65">
        <v>0</v>
      </c>
      <c r="AE186" s="60">
        <v>0</v>
      </c>
    </row>
    <row r="187" spans="1:31" ht="18" hidden="1" customHeight="1" outlineLevel="1" x14ac:dyDescent="0.2">
      <c r="A187" s="30" t="s">
        <v>256</v>
      </c>
      <c r="B187" s="30" t="s">
        <v>18</v>
      </c>
      <c r="C187" s="4">
        <v>0</v>
      </c>
      <c r="D187" s="4">
        <v>0</v>
      </c>
      <c r="F187" s="104" t="s">
        <v>259</v>
      </c>
      <c r="G187" s="36"/>
      <c r="H187" s="65">
        <v>0</v>
      </c>
      <c r="I187" s="65">
        <v>-1.552</v>
      </c>
      <c r="J187" s="65">
        <v>-1.552</v>
      </c>
      <c r="K187" s="90">
        <v>0</v>
      </c>
      <c r="L187" s="90">
        <v>0</v>
      </c>
      <c r="M187" s="65">
        <v>0</v>
      </c>
      <c r="N187" s="65">
        <v>0</v>
      </c>
      <c r="O187" s="65">
        <v>0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36"/>
      <c r="AA187" s="65">
        <v>0</v>
      </c>
      <c r="AB187" s="60">
        <v>0</v>
      </c>
      <c r="AC187" s="36"/>
      <c r="AD187" s="65">
        <v>0</v>
      </c>
      <c r="AE187" s="60">
        <v>0</v>
      </c>
    </row>
    <row r="188" spans="1:31" ht="18" hidden="1" customHeight="1" outlineLevel="1" x14ac:dyDescent="0.2">
      <c r="A188" s="30" t="s">
        <v>185</v>
      </c>
      <c r="B188" s="30" t="s">
        <v>18</v>
      </c>
      <c r="C188" s="4">
        <v>0</v>
      </c>
      <c r="D188" s="4">
        <v>0</v>
      </c>
      <c r="F188" s="38" t="s">
        <v>186</v>
      </c>
      <c r="G188" s="34"/>
      <c r="H188" s="66">
        <v>0</v>
      </c>
      <c r="I188" s="66">
        <v>0</v>
      </c>
      <c r="J188" s="66">
        <v>0</v>
      </c>
      <c r="K188" s="86">
        <v>0</v>
      </c>
      <c r="L188" s="86">
        <v>0</v>
      </c>
      <c r="M188" s="66">
        <v>0</v>
      </c>
      <c r="N188" s="66">
        <v>0</v>
      </c>
      <c r="O188" s="66">
        <v>0</v>
      </c>
      <c r="P188" s="66">
        <v>0</v>
      </c>
      <c r="Q188" s="66">
        <v>0</v>
      </c>
      <c r="R188" s="66">
        <v>0</v>
      </c>
      <c r="S188" s="66">
        <v>0</v>
      </c>
      <c r="T188" s="66">
        <v>0</v>
      </c>
      <c r="U188" s="66">
        <v>0</v>
      </c>
      <c r="V188" s="66">
        <v>0</v>
      </c>
      <c r="W188" s="66">
        <v>0</v>
      </c>
      <c r="X188" s="66">
        <v>0</v>
      </c>
      <c r="Y188" s="66">
        <v>0</v>
      </c>
      <c r="Z188" s="34"/>
      <c r="AA188" s="66">
        <v>0</v>
      </c>
      <c r="AB188" s="60">
        <v>0</v>
      </c>
      <c r="AC188" s="34"/>
      <c r="AD188" s="66">
        <v>0</v>
      </c>
      <c r="AE188" s="60">
        <v>0</v>
      </c>
    </row>
    <row r="189" spans="1:31" ht="18" customHeight="1" collapsed="1" x14ac:dyDescent="0.2">
      <c r="A189" s="35"/>
      <c r="B189" s="35"/>
      <c r="C189" s="4">
        <v>-1.0004203446826396</v>
      </c>
      <c r="D189" s="4">
        <v>4.0322580645161296E-2</v>
      </c>
      <c r="F189" s="106" t="s">
        <v>188</v>
      </c>
      <c r="H189" s="61">
        <v>0</v>
      </c>
      <c r="I189" s="61">
        <v>-1.734</v>
      </c>
      <c r="J189" s="61">
        <v>-1.734</v>
      </c>
      <c r="K189" s="86">
        <v>0</v>
      </c>
      <c r="L189" s="86">
        <v>-2.48</v>
      </c>
      <c r="M189" s="61">
        <v>-6.2E-2</v>
      </c>
      <c r="N189" s="61">
        <v>-6.0999999999999999E-2</v>
      </c>
      <c r="O189" s="61">
        <v>-5.6999999999999995E-2</v>
      </c>
      <c r="P189" s="61">
        <v>-5.6999999999999995E-2</v>
      </c>
      <c r="Q189" s="61">
        <v>-5.7999999999999996E-2</v>
      </c>
      <c r="R189" s="61">
        <v>-0.47</v>
      </c>
      <c r="S189" s="61">
        <v>-5.7999999999999996E-2</v>
      </c>
      <c r="T189" s="61">
        <v>-0.79</v>
      </c>
      <c r="U189" s="61">
        <v>-7.2000000000000064E-2</v>
      </c>
      <c r="V189" s="61">
        <v>-0.54700000000000004</v>
      </c>
      <c r="W189" s="61">
        <v>-7.1999999999999842E-2</v>
      </c>
      <c r="X189" s="61">
        <v>-7.5000000000000178E-2</v>
      </c>
      <c r="Y189" s="61">
        <v>-2.379</v>
      </c>
      <c r="AA189" s="61">
        <v>0</v>
      </c>
      <c r="AB189" s="60">
        <v>-2.38</v>
      </c>
      <c r="AD189" s="61">
        <v>-2.48</v>
      </c>
      <c r="AE189" s="60">
        <v>0.1</v>
      </c>
    </row>
    <row r="190" spans="1:31" ht="18" customHeight="1" x14ac:dyDescent="0.2">
      <c r="A190" s="35"/>
      <c r="B190" s="35"/>
      <c r="C190" s="4">
        <v>-0.15715798814874188</v>
      </c>
      <c r="D190" s="4">
        <v>0.15278854819441245</v>
      </c>
      <c r="F190" s="95" t="s">
        <v>87</v>
      </c>
      <c r="H190" s="64">
        <v>-27.106999999999999</v>
      </c>
      <c r="I190" s="64">
        <v>-42.354999999999997</v>
      </c>
      <c r="J190" s="64">
        <v>-42.354999999999997</v>
      </c>
      <c r="K190" s="89">
        <v>-34.933</v>
      </c>
      <c r="L190" s="89">
        <v>-47.712999999999994</v>
      </c>
      <c r="M190" s="64">
        <v>-3.6179999999999999</v>
      </c>
      <c r="N190" s="64">
        <v>-3.5029999999999997</v>
      </c>
      <c r="O190" s="64">
        <v>-3.3159999999999994</v>
      </c>
      <c r="P190" s="64">
        <v>-2.3210000000000002</v>
      </c>
      <c r="Q190" s="64">
        <v>-2.4469999999999996</v>
      </c>
      <c r="R190" s="64">
        <v>-3.4110000000000005</v>
      </c>
      <c r="S190" s="64">
        <v>-4.0439999999999996</v>
      </c>
      <c r="T190" s="64">
        <v>-4.168000000000001</v>
      </c>
      <c r="U190" s="64">
        <v>-3.867999999999999</v>
      </c>
      <c r="V190" s="64">
        <v>-4.2590000000000003</v>
      </c>
      <c r="W190" s="64">
        <v>-1.7020000000000026</v>
      </c>
      <c r="X190" s="64">
        <v>-3.763999999999998</v>
      </c>
      <c r="Y190" s="64">
        <v>-40.420999999999999</v>
      </c>
      <c r="AA190" s="64">
        <v>-34.933</v>
      </c>
      <c r="AB190" s="60">
        <v>-5.49</v>
      </c>
      <c r="AD190" s="64">
        <v>-47.712999999999994</v>
      </c>
      <c r="AE190" s="60">
        <v>7.29</v>
      </c>
    </row>
    <row r="191" spans="1:31" ht="12.95" customHeight="1" x14ac:dyDescent="0.2">
      <c r="A191" s="35"/>
      <c r="B191" s="35"/>
      <c r="C191" s="4"/>
      <c r="D191" s="4"/>
      <c r="F191" s="39" t="s">
        <v>223</v>
      </c>
      <c r="H191" s="56">
        <v>5.847299773610465E-3</v>
      </c>
      <c r="I191" s="56">
        <v>9.1615995410872491E-3</v>
      </c>
      <c r="J191" s="56">
        <v>9.1615995410872491E-3</v>
      </c>
      <c r="K191" s="109">
        <v>7.0610660020576999E-3</v>
      </c>
      <c r="L191" s="109">
        <v>9.3736438196090725E-3</v>
      </c>
      <c r="M191" s="56">
        <v>9.8276494316098268E-3</v>
      </c>
      <c r="N191" s="56">
        <v>8.8741731920423776E-3</v>
      </c>
      <c r="O191" s="56">
        <v>8.0293084285946049E-3</v>
      </c>
      <c r="P191" s="56">
        <v>5.4226944787110739E-3</v>
      </c>
      <c r="Q191" s="56">
        <v>5.3710573103009284E-3</v>
      </c>
      <c r="R191" s="56">
        <v>7.8974786413836262E-3</v>
      </c>
      <c r="S191" s="56">
        <v>9.5484778866791187E-3</v>
      </c>
      <c r="T191" s="56">
        <v>9.2488627538000641E-3</v>
      </c>
      <c r="U191" s="56">
        <v>9.2049651601111785E-3</v>
      </c>
      <c r="V191" s="56">
        <v>9.6352452247959949E-3</v>
      </c>
      <c r="W191" s="56">
        <v>3.7137975653024043E-3</v>
      </c>
      <c r="X191" s="56">
        <v>8.1123836700561624E-3</v>
      </c>
      <c r="Y191" s="56">
        <v>7.8486372795999113E-3</v>
      </c>
      <c r="AA191" s="56">
        <v>7.0610660020576999E-3</v>
      </c>
      <c r="AB191" s="57"/>
      <c r="AD191" s="56">
        <v>9.3736438196090725E-3</v>
      </c>
      <c r="AE191" s="57"/>
    </row>
    <row r="192" spans="1:31" ht="6.95" customHeight="1" x14ac:dyDescent="0.2">
      <c r="C192" s="4"/>
      <c r="D192" s="4"/>
      <c r="F192" s="96"/>
      <c r="H192" s="16"/>
      <c r="I192" s="16"/>
      <c r="J192" s="16"/>
      <c r="K192" s="85"/>
      <c r="L192" s="85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AA192" s="16"/>
      <c r="AB192" s="20"/>
      <c r="AD192" s="16"/>
      <c r="AE192" s="20"/>
    </row>
    <row r="193" spans="1:31" s="40" customFormat="1" ht="18" customHeight="1" x14ac:dyDescent="0.2">
      <c r="A193" s="35"/>
      <c r="B193" s="35"/>
      <c r="C193" s="4">
        <v>9.3712705948508657E-3</v>
      </c>
      <c r="D193" s="4">
        <v>-2.716611481053656E-2</v>
      </c>
      <c r="E193" s="8"/>
      <c r="F193" s="100" t="s">
        <v>277</v>
      </c>
      <c r="G193" s="8"/>
      <c r="H193" s="62">
        <v>-3159.3130000000001</v>
      </c>
      <c r="I193" s="62">
        <v>-3106.8279999999995</v>
      </c>
      <c r="J193" s="62">
        <v>-3106.8279999999995</v>
      </c>
      <c r="K193" s="108">
        <v>-3369.8738800000001</v>
      </c>
      <c r="L193" s="108">
        <v>-3250.0046700000007</v>
      </c>
      <c r="M193" s="62">
        <v>-247.50000000000003</v>
      </c>
      <c r="N193" s="62">
        <v>-283.95699999999994</v>
      </c>
      <c r="O193" s="62">
        <v>-303.80299999999994</v>
      </c>
      <c r="P193" s="62">
        <v>-269.28800000000001</v>
      </c>
      <c r="Q193" s="62">
        <v>-236.25000000000009</v>
      </c>
      <c r="R193" s="62">
        <v>-323.58900000000006</v>
      </c>
      <c r="S193" s="62">
        <v>-213.30599999999993</v>
      </c>
      <c r="T193" s="62">
        <v>-223.10800000000012</v>
      </c>
      <c r="U193" s="62">
        <v>-301.83899999999994</v>
      </c>
      <c r="V193" s="62">
        <v>-344.09799999999996</v>
      </c>
      <c r="W193" s="62">
        <v>-271.48700000000019</v>
      </c>
      <c r="X193" s="62">
        <v>-320.07099999999997</v>
      </c>
      <c r="Y193" s="62">
        <v>-3338.2960000000003</v>
      </c>
      <c r="Z193" s="8"/>
      <c r="AA193" s="62">
        <v>-3369.8738800000006</v>
      </c>
      <c r="AB193" s="60">
        <v>31.58</v>
      </c>
      <c r="AC193" s="8"/>
      <c r="AD193" s="62">
        <v>-3250.0046700000007</v>
      </c>
      <c r="AE193" s="60">
        <v>-88.29</v>
      </c>
    </row>
    <row r="194" spans="1:31" ht="12.95" customHeight="1" x14ac:dyDescent="0.2">
      <c r="A194" s="35"/>
      <c r="B194" s="35"/>
      <c r="C194" s="4"/>
      <c r="D194" s="4"/>
      <c r="F194" s="39" t="s">
        <v>223</v>
      </c>
      <c r="H194" s="56">
        <v>0.68150109527666647</v>
      </c>
      <c r="I194" s="56">
        <v>0.67202252341015256</v>
      </c>
      <c r="J194" s="56">
        <v>0.67202252341015256</v>
      </c>
      <c r="K194" s="109">
        <v>0.68115827112730853</v>
      </c>
      <c r="L194" s="109">
        <v>0.63849236452635827</v>
      </c>
      <c r="M194" s="56">
        <v>0.67228945116733896</v>
      </c>
      <c r="N194" s="56">
        <v>0.71935015617835485</v>
      </c>
      <c r="O194" s="56">
        <v>0.73562363948502008</v>
      </c>
      <c r="P194" s="56">
        <v>0.62915405031587579</v>
      </c>
      <c r="Q194" s="56">
        <v>0.5185583529050245</v>
      </c>
      <c r="R194" s="56">
        <v>0.749204695422658</v>
      </c>
      <c r="S194" s="56">
        <v>0.50364679131947965</v>
      </c>
      <c r="T194" s="56">
        <v>0.49508043936536111</v>
      </c>
      <c r="U194" s="56">
        <v>0.71830855195522192</v>
      </c>
      <c r="V194" s="56">
        <v>0.77846175425260666</v>
      </c>
      <c r="W194" s="56">
        <v>0.59238998802071263</v>
      </c>
      <c r="X194" s="56">
        <v>0.68983495049376908</v>
      </c>
      <c r="Y194" s="56">
        <v>0.64820450844707633</v>
      </c>
      <c r="AA194" s="56">
        <v>0.68115827112730865</v>
      </c>
      <c r="AB194" s="57"/>
      <c r="AD194" s="56">
        <v>0.63849236452635827</v>
      </c>
      <c r="AE194" s="57"/>
    </row>
    <row r="195" spans="1:31" ht="6.95" customHeight="1" x14ac:dyDescent="0.2">
      <c r="C195" s="4"/>
      <c r="D195" s="4"/>
      <c r="F195" s="96"/>
      <c r="H195" s="16"/>
      <c r="I195" s="16"/>
      <c r="J195" s="16"/>
      <c r="K195" s="85"/>
      <c r="L195" s="85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AA195" s="16"/>
      <c r="AB195" s="20"/>
      <c r="AD195" s="16"/>
      <c r="AE195" s="20"/>
    </row>
    <row r="196" spans="1:31" ht="18" customHeight="1" x14ac:dyDescent="0.2">
      <c r="A196" s="35"/>
      <c r="B196" s="35"/>
      <c r="C196" s="4">
        <v>0.12467596269571052</v>
      </c>
      <c r="D196" s="4">
        <v>-1.6139545997408449E-2</v>
      </c>
      <c r="F196" s="101" t="s">
        <v>278</v>
      </c>
      <c r="H196" s="77">
        <v>1434.2540000000008</v>
      </c>
      <c r="I196" s="77">
        <v>1486.9500000000007</v>
      </c>
      <c r="J196" s="77">
        <v>1486.9500000000007</v>
      </c>
      <c r="K196" s="114">
        <v>1572.3961200000003</v>
      </c>
      <c r="L196" s="114">
        <v>1797.4483299999997</v>
      </c>
      <c r="M196" s="77">
        <v>98.604000000000013</v>
      </c>
      <c r="N196" s="77">
        <v>82.709000000000003</v>
      </c>
      <c r="O196" s="77">
        <v>97.217999999999961</v>
      </c>
      <c r="P196" s="77">
        <v>167.50700000000018</v>
      </c>
      <c r="Q196" s="77">
        <v>227.35899999999978</v>
      </c>
      <c r="R196" s="77">
        <v>107.52499999999975</v>
      </c>
      <c r="S196" s="77">
        <v>206.10000000000002</v>
      </c>
      <c r="T196" s="77">
        <v>185.13200000000018</v>
      </c>
      <c r="U196" s="77">
        <v>111.50600000000014</v>
      </c>
      <c r="V196" s="77">
        <v>121.97600000000011</v>
      </c>
      <c r="W196" s="77">
        <v>201.40799999999945</v>
      </c>
      <c r="X196" s="77">
        <v>161.39500000000004</v>
      </c>
      <c r="Y196" s="77">
        <v>1768.4390000000003</v>
      </c>
      <c r="AA196" s="77">
        <v>1572.3961200000003</v>
      </c>
      <c r="AB196" s="60">
        <v>196.04</v>
      </c>
      <c r="AD196" s="77">
        <v>1797.4483299999999</v>
      </c>
      <c r="AE196" s="60">
        <v>-29.01</v>
      </c>
    </row>
    <row r="197" spans="1:31" ht="12.95" customHeight="1" x14ac:dyDescent="0.2">
      <c r="A197" s="35"/>
      <c r="B197" s="35"/>
      <c r="C197" s="4"/>
      <c r="D197" s="4"/>
      <c r="F197" s="39" t="s">
        <v>223</v>
      </c>
      <c r="H197" s="56">
        <v>0.30938551257977304</v>
      </c>
      <c r="I197" s="56">
        <v>0.32163476419831644</v>
      </c>
      <c r="J197" s="56">
        <v>0.32163476419831644</v>
      </c>
      <c r="K197" s="109">
        <v>0.31783107046916786</v>
      </c>
      <c r="L197" s="109">
        <v>0.35312473392096805</v>
      </c>
      <c r="M197" s="56">
        <v>0.26784011734506785</v>
      </c>
      <c r="N197" s="56">
        <v>0.20952725964619845</v>
      </c>
      <c r="O197" s="56">
        <v>0.2354020828742793</v>
      </c>
      <c r="P197" s="56">
        <v>0.39135686516391932</v>
      </c>
      <c r="Q197" s="56">
        <v>0.49904299918786588</v>
      </c>
      <c r="R197" s="56">
        <v>0.24895232803130235</v>
      </c>
      <c r="S197" s="56">
        <v>0.48663236707333501</v>
      </c>
      <c r="T197" s="56">
        <v>0.41081105070453805</v>
      </c>
      <c r="U197" s="56">
        <v>0.26535906027491174</v>
      </c>
      <c r="V197" s="56">
        <v>0.2759494415448972</v>
      </c>
      <c r="W197" s="56">
        <v>0.43947622798614772</v>
      </c>
      <c r="X197" s="56">
        <v>0.34784754580996685</v>
      </c>
      <c r="Y197" s="56">
        <v>0.34338181297094061</v>
      </c>
      <c r="AA197" s="56">
        <v>0.31783107046916786</v>
      </c>
      <c r="AB197" s="57"/>
      <c r="AD197" s="56">
        <v>0.35312473392096805</v>
      </c>
      <c r="AE197" s="57"/>
    </row>
    <row r="198" spans="1:31" ht="6.95" customHeight="1" x14ac:dyDescent="0.2">
      <c r="C198" s="4"/>
      <c r="D198" s="4"/>
      <c r="F198" s="96"/>
      <c r="H198" s="16"/>
      <c r="I198" s="16"/>
      <c r="J198" s="16"/>
      <c r="K198" s="85"/>
      <c r="L198" s="85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AA198" s="16"/>
      <c r="AB198" s="20"/>
      <c r="AD198" s="16"/>
      <c r="AE198" s="20"/>
    </row>
    <row r="199" spans="1:31" ht="18" hidden="1" customHeight="1" outlineLevel="1" x14ac:dyDescent="0.2">
      <c r="A199" s="30" t="s">
        <v>36</v>
      </c>
      <c r="B199" s="30" t="s">
        <v>243</v>
      </c>
      <c r="C199" s="4"/>
      <c r="D199" s="4"/>
      <c r="F199" s="51" t="s">
        <v>246</v>
      </c>
      <c r="G199" s="34"/>
      <c r="H199" s="72">
        <v>1</v>
      </c>
      <c r="I199" s="72">
        <v>0.996</v>
      </c>
      <c r="J199" s="72">
        <v>0.996</v>
      </c>
      <c r="K199" s="111">
        <v>0.75</v>
      </c>
      <c r="L199" s="111">
        <v>1</v>
      </c>
      <c r="M199" s="72">
        <v>0.996</v>
      </c>
      <c r="N199" s="72">
        <v>0.996</v>
      </c>
      <c r="O199" s="72">
        <v>0.996</v>
      </c>
      <c r="P199" s="72">
        <v>0.996</v>
      </c>
      <c r="Q199" s="72">
        <v>0.99599999999999955</v>
      </c>
      <c r="R199" s="72">
        <v>0.99600000000000044</v>
      </c>
      <c r="S199" s="72">
        <v>0.99599999999999955</v>
      </c>
      <c r="T199" s="72">
        <v>0.99600000000000044</v>
      </c>
      <c r="U199" s="72">
        <v>0.99600000000000044</v>
      </c>
      <c r="V199" s="72">
        <v>0.99599999999999866</v>
      </c>
      <c r="W199" s="72">
        <v>0.99600000000000044</v>
      </c>
      <c r="X199" s="72">
        <v>0.99600000000000044</v>
      </c>
      <c r="Y199" s="72">
        <v>0.996</v>
      </c>
      <c r="Z199" s="34"/>
      <c r="AA199" s="72">
        <v>0.75</v>
      </c>
      <c r="AB199" s="73">
        <v>0.25</v>
      </c>
      <c r="AC199" s="34"/>
      <c r="AD199" s="72">
        <v>1</v>
      </c>
      <c r="AE199" s="73">
        <v>0</v>
      </c>
    </row>
    <row r="200" spans="1:31" ht="18" hidden="1" customHeight="1" outlineLevel="1" x14ac:dyDescent="0.2">
      <c r="A200" s="30" t="s">
        <v>36</v>
      </c>
      <c r="B200" s="30" t="s">
        <v>244</v>
      </c>
      <c r="C200" s="4"/>
      <c r="D200" s="4"/>
      <c r="F200" s="51" t="s">
        <v>247</v>
      </c>
      <c r="G200" s="34"/>
      <c r="H200" s="72">
        <v>1.63</v>
      </c>
      <c r="I200" s="72">
        <v>0.96200000000000008</v>
      </c>
      <c r="J200" s="72">
        <v>0.96199999999999997</v>
      </c>
      <c r="K200" s="111">
        <v>1</v>
      </c>
      <c r="L200" s="111">
        <v>2</v>
      </c>
      <c r="M200" s="72">
        <v>0.996</v>
      </c>
      <c r="N200" s="72">
        <v>0.996</v>
      </c>
      <c r="O200" s="72">
        <v>0.996</v>
      </c>
      <c r="P200" s="72">
        <v>0.996</v>
      </c>
      <c r="Q200" s="72">
        <v>0.99599999999999955</v>
      </c>
      <c r="R200" s="72">
        <v>0.99600000000000044</v>
      </c>
      <c r="S200" s="72">
        <v>0.99599999999999955</v>
      </c>
      <c r="T200" s="72">
        <v>0.99600000000000044</v>
      </c>
      <c r="U200" s="72">
        <v>0.99600000000000044</v>
      </c>
      <c r="V200" s="72">
        <v>0.99599999999999866</v>
      </c>
      <c r="W200" s="72">
        <v>0.99600000000000044</v>
      </c>
      <c r="X200" s="72">
        <v>1.9920000000000009</v>
      </c>
      <c r="Y200" s="72">
        <v>1.079</v>
      </c>
      <c r="Z200" s="34"/>
      <c r="AA200" s="72">
        <v>1</v>
      </c>
      <c r="AB200" s="73">
        <v>0.08</v>
      </c>
      <c r="AC200" s="34"/>
      <c r="AD200" s="72">
        <v>2</v>
      </c>
      <c r="AE200" s="73">
        <v>-0.92</v>
      </c>
    </row>
    <row r="201" spans="1:31" ht="18" hidden="1" customHeight="1" outlineLevel="1" x14ac:dyDescent="0.2">
      <c r="A201" s="30" t="s">
        <v>36</v>
      </c>
      <c r="B201" s="30" t="s">
        <v>245</v>
      </c>
      <c r="C201" s="4"/>
      <c r="D201" s="4"/>
      <c r="F201" s="51" t="s">
        <v>248</v>
      </c>
      <c r="G201" s="34"/>
      <c r="H201" s="72">
        <v>5.26</v>
      </c>
      <c r="I201" s="72">
        <v>4.3</v>
      </c>
      <c r="J201" s="72">
        <v>4.3</v>
      </c>
      <c r="K201" s="111">
        <v>5</v>
      </c>
      <c r="L201" s="111">
        <v>5.4889999999999999</v>
      </c>
      <c r="M201" s="72">
        <v>4.9799999999999995</v>
      </c>
      <c r="N201" s="72">
        <v>5.3400000000000007</v>
      </c>
      <c r="O201" s="72">
        <v>5.6759999999999984</v>
      </c>
      <c r="P201" s="72">
        <v>5.2440000000000033</v>
      </c>
      <c r="Q201" s="72">
        <v>5.6759999999999948</v>
      </c>
      <c r="R201" s="72">
        <v>6.0240000000000009</v>
      </c>
      <c r="S201" s="72">
        <v>5.892000000000003</v>
      </c>
      <c r="T201" s="72">
        <v>5.7359999999999971</v>
      </c>
      <c r="U201" s="72">
        <v>5.088000000000001</v>
      </c>
      <c r="V201" s="72">
        <v>5.9040000000000035</v>
      </c>
      <c r="W201" s="72">
        <v>5.6880000000000024</v>
      </c>
      <c r="X201" s="72">
        <v>5.9279999999999973</v>
      </c>
      <c r="Y201" s="72">
        <v>5.5979999999999999</v>
      </c>
      <c r="Z201" s="34"/>
      <c r="AA201" s="72">
        <v>5</v>
      </c>
      <c r="AB201" s="73">
        <v>0.6</v>
      </c>
      <c r="AC201" s="34"/>
      <c r="AD201" s="72">
        <v>5.4889999999999999</v>
      </c>
      <c r="AE201" s="73">
        <v>0.11</v>
      </c>
    </row>
    <row r="202" spans="1:31" ht="18" customHeight="1" collapsed="1" x14ac:dyDescent="0.2">
      <c r="A202" s="30" t="s">
        <v>36</v>
      </c>
      <c r="B202" s="30" t="s">
        <v>22</v>
      </c>
      <c r="C202" s="4"/>
      <c r="D202" s="4"/>
      <c r="F202" s="97" t="s">
        <v>250</v>
      </c>
      <c r="H202" s="74">
        <v>7.89</v>
      </c>
      <c r="I202" s="74">
        <v>6.258</v>
      </c>
      <c r="J202" s="74">
        <v>6.258</v>
      </c>
      <c r="K202" s="112">
        <v>6.75</v>
      </c>
      <c r="L202" s="112">
        <v>8.4890000000000008</v>
      </c>
      <c r="M202" s="74">
        <v>6.9719999999999995</v>
      </c>
      <c r="N202" s="74">
        <v>7.331999999999999</v>
      </c>
      <c r="O202" s="74">
        <v>7.6680000000000028</v>
      </c>
      <c r="P202" s="74">
        <v>7.2360000000000007</v>
      </c>
      <c r="Q202" s="74">
        <v>7.6679999999999957</v>
      </c>
      <c r="R202" s="74">
        <v>8.0160000000000053</v>
      </c>
      <c r="S202" s="74">
        <v>7.8839999999999932</v>
      </c>
      <c r="T202" s="74">
        <v>7.7280000000000015</v>
      </c>
      <c r="U202" s="74">
        <v>7.0800000000000054</v>
      </c>
      <c r="V202" s="74">
        <v>7.8960000000000008</v>
      </c>
      <c r="W202" s="74">
        <v>7.6799999999999926</v>
      </c>
      <c r="X202" s="74">
        <v>8.9159999999999968</v>
      </c>
      <c r="Y202" s="74">
        <v>7.6729999999999992</v>
      </c>
      <c r="AA202" s="74">
        <v>6.75</v>
      </c>
      <c r="AB202" s="73">
        <v>0.92</v>
      </c>
      <c r="AD202" s="74">
        <v>8.4890000000000008</v>
      </c>
      <c r="AE202" s="73">
        <v>-0.82</v>
      </c>
    </row>
    <row r="203" spans="1:31" ht="18" hidden="1" customHeight="1" outlineLevel="1" collapsed="1" x14ac:dyDescent="0.2">
      <c r="A203" s="33" t="s">
        <v>211</v>
      </c>
      <c r="B203" s="33" t="s">
        <v>22</v>
      </c>
      <c r="C203" s="4"/>
      <c r="D203" s="4"/>
      <c r="F203" s="98" t="s">
        <v>212</v>
      </c>
      <c r="G203" s="34"/>
      <c r="H203" s="75">
        <v>8.5500000000000007</v>
      </c>
      <c r="I203" s="75">
        <v>6.7919999999999989</v>
      </c>
      <c r="J203" s="75">
        <v>6.7919999999999998</v>
      </c>
      <c r="K203" s="112">
        <v>6.75</v>
      </c>
      <c r="L203" s="112">
        <v>8.4890000000000008</v>
      </c>
      <c r="M203" s="75">
        <v>6.9719999999999995</v>
      </c>
      <c r="N203" s="75">
        <v>7.4160000000000021</v>
      </c>
      <c r="O203" s="75">
        <v>7.6679999999999993</v>
      </c>
      <c r="P203" s="75">
        <v>7.2240000000000002</v>
      </c>
      <c r="Q203" s="75">
        <v>7.7999999999999972</v>
      </c>
      <c r="R203" s="75">
        <v>8.1480000000000032</v>
      </c>
      <c r="S203" s="75">
        <v>7.8840000000000003</v>
      </c>
      <c r="T203" s="75">
        <v>7.7999999999999901</v>
      </c>
      <c r="U203" s="75">
        <v>7.0800000000000125</v>
      </c>
      <c r="V203" s="75">
        <v>7.9559999999999889</v>
      </c>
      <c r="W203" s="75">
        <v>7.7519999999999953</v>
      </c>
      <c r="X203" s="75">
        <v>8.916000000000011</v>
      </c>
      <c r="Y203" s="75">
        <v>7.718</v>
      </c>
      <c r="Z203" s="34"/>
      <c r="AA203" s="75">
        <v>6.75</v>
      </c>
      <c r="AB203" s="76">
        <v>0.97</v>
      </c>
      <c r="AC203" s="34"/>
      <c r="AD203" s="75">
        <v>8.4890000000000008</v>
      </c>
      <c r="AE203" s="76">
        <v>-0.77</v>
      </c>
    </row>
    <row r="204" spans="1:31" ht="18" hidden="1" customHeight="1" outlineLevel="1" collapsed="1" x14ac:dyDescent="0.2">
      <c r="A204" s="35"/>
      <c r="B204" s="35"/>
      <c r="C204" s="4"/>
      <c r="D204" s="4"/>
      <c r="F204" s="97" t="s">
        <v>251</v>
      </c>
      <c r="H204" s="74">
        <v>0.66000000000000103</v>
      </c>
      <c r="I204" s="74">
        <v>0.53399999999999892</v>
      </c>
      <c r="J204" s="74">
        <v>0.53399999999999981</v>
      </c>
      <c r="K204" s="112">
        <v>0</v>
      </c>
      <c r="L204" s="112">
        <v>0</v>
      </c>
      <c r="M204" s="74">
        <v>0</v>
      </c>
      <c r="N204" s="74">
        <v>8.4000000000003183E-2</v>
      </c>
      <c r="O204" s="74">
        <v>0</v>
      </c>
      <c r="P204" s="74">
        <v>-1.2000000000000455E-2</v>
      </c>
      <c r="Q204" s="74">
        <v>0.13200000000000145</v>
      </c>
      <c r="R204" s="74">
        <v>0.1319999999999979</v>
      </c>
      <c r="S204" s="74">
        <v>7.1054273576010019E-15</v>
      </c>
      <c r="T204" s="74">
        <v>7.1999999999988518E-2</v>
      </c>
      <c r="U204" s="74">
        <v>7.1054273576010019E-15</v>
      </c>
      <c r="V204" s="74">
        <v>5.9999999999988063E-2</v>
      </c>
      <c r="W204" s="74">
        <v>7.2000000000002728E-2</v>
      </c>
      <c r="X204" s="74">
        <v>1.4210854715202004E-14</v>
      </c>
      <c r="Y204" s="74">
        <v>4.5000000000000817E-2</v>
      </c>
      <c r="AA204" s="74">
        <v>0</v>
      </c>
      <c r="AB204" s="73">
        <v>0.05</v>
      </c>
      <c r="AD204" s="74">
        <v>0</v>
      </c>
      <c r="AE204" s="73">
        <v>0.05</v>
      </c>
    </row>
    <row r="205" spans="1:31" ht="12.95" hidden="1" customHeight="1" outlineLevel="1" x14ac:dyDescent="0.2">
      <c r="A205" s="35"/>
      <c r="B205" s="35"/>
      <c r="C205" s="4"/>
      <c r="D205" s="4"/>
      <c r="F205" s="39" t="s">
        <v>37</v>
      </c>
      <c r="H205" s="68">
        <v>7.7192982456140466E-2</v>
      </c>
      <c r="I205" s="68">
        <v>7.8621908127208331E-2</v>
      </c>
      <c r="J205" s="68">
        <v>7.8621908127208456E-2</v>
      </c>
      <c r="K205" s="113">
        <v>0</v>
      </c>
      <c r="L205" s="113">
        <v>0</v>
      </c>
      <c r="M205" s="68">
        <v>0</v>
      </c>
      <c r="N205" s="68">
        <v>1.1326860841424374E-2</v>
      </c>
      <c r="O205" s="68">
        <v>0</v>
      </c>
      <c r="P205" s="68">
        <v>-1.6611295681063752E-3</v>
      </c>
      <c r="Q205" s="68">
        <v>1.6923076923077113E-2</v>
      </c>
      <c r="R205" s="68">
        <v>1.6200294550809749E-2</v>
      </c>
      <c r="S205" s="68">
        <v>9.012464938611113E-16</v>
      </c>
      <c r="T205" s="68">
        <v>9.230769230767771E-3</v>
      </c>
      <c r="U205" s="68">
        <v>1.0035914346894053E-15</v>
      </c>
      <c r="V205" s="68">
        <v>7.5414781297119338E-3</v>
      </c>
      <c r="W205" s="68">
        <v>9.2879256965947843E-3</v>
      </c>
      <c r="X205" s="68">
        <v>1.5938598828176298E-15</v>
      </c>
      <c r="Y205" s="68">
        <v>5.8305260430164315E-3</v>
      </c>
      <c r="AA205" s="68">
        <v>0</v>
      </c>
      <c r="AB205" s="69"/>
      <c r="AD205" s="68">
        <v>0</v>
      </c>
      <c r="AE205" s="69"/>
    </row>
    <row r="206" spans="1:31" ht="18" customHeight="1" collapsed="1" x14ac:dyDescent="0.2">
      <c r="A206" s="30" t="s">
        <v>220</v>
      </c>
      <c r="B206" s="30" t="s">
        <v>22</v>
      </c>
      <c r="C206" s="4">
        <v>-0.27886591205935979</v>
      </c>
      <c r="D206" s="4">
        <v>-3.3020820897607515E-2</v>
      </c>
      <c r="F206" s="106" t="s">
        <v>66</v>
      </c>
      <c r="H206" s="61">
        <v>-483.52199999999999</v>
      </c>
      <c r="I206" s="61">
        <v>-436.20100000000002</v>
      </c>
      <c r="J206" s="61">
        <v>-436.20100000000002</v>
      </c>
      <c r="K206" s="86">
        <v>-429.31027</v>
      </c>
      <c r="L206" s="86">
        <v>-531.48284999999998</v>
      </c>
      <c r="M206" s="61">
        <v>-31.757999999999999</v>
      </c>
      <c r="N206" s="61">
        <v>-35.547000000000011</v>
      </c>
      <c r="O206" s="61">
        <v>-36.042999999999992</v>
      </c>
      <c r="P206" s="61">
        <v>-35.89800000000001</v>
      </c>
      <c r="Q206" s="61">
        <v>-38.038999999999987</v>
      </c>
      <c r="R206" s="61">
        <v>-40.173000000000002</v>
      </c>
      <c r="S206" s="61">
        <v>-36.573000000000008</v>
      </c>
      <c r="T206" s="61">
        <v>-37.368999999999971</v>
      </c>
      <c r="U206" s="61">
        <v>-46.605000000000018</v>
      </c>
      <c r="V206" s="61">
        <v>-40.643000000000029</v>
      </c>
      <c r="W206" s="61">
        <v>-121.98199999999997</v>
      </c>
      <c r="X206" s="61">
        <v>-48.399000000000001</v>
      </c>
      <c r="Y206" s="61">
        <v>-549.029</v>
      </c>
      <c r="AA206" s="61">
        <v>-429.31027</v>
      </c>
      <c r="AB206" s="60">
        <v>-119.72</v>
      </c>
      <c r="AD206" s="61">
        <v>-531.48284999999998</v>
      </c>
      <c r="AE206" s="60">
        <v>-17.55</v>
      </c>
    </row>
    <row r="207" spans="1:31" ht="18" customHeight="1" x14ac:dyDescent="0.2">
      <c r="A207" s="30" t="s">
        <v>218</v>
      </c>
      <c r="B207" s="30" t="s">
        <v>22</v>
      </c>
      <c r="C207" s="4">
        <v>-1.0006253908692933</v>
      </c>
      <c r="D207" s="4">
        <v>-1.0006253908692933</v>
      </c>
      <c r="F207" s="104" t="s">
        <v>219</v>
      </c>
      <c r="G207" s="36"/>
      <c r="H207" s="65">
        <v>12.911</v>
      </c>
      <c r="I207" s="65">
        <v>2.468</v>
      </c>
      <c r="J207" s="65">
        <v>2.468</v>
      </c>
      <c r="K207" s="65">
        <v>0</v>
      </c>
      <c r="L207" s="65">
        <v>0</v>
      </c>
      <c r="M207" s="65">
        <v>-3.63</v>
      </c>
      <c r="N207" s="65">
        <v>-2.4530000000000003</v>
      </c>
      <c r="O207" s="65">
        <v>-3.3149999999999995</v>
      </c>
      <c r="P207" s="65">
        <v>1.8329999999999993</v>
      </c>
      <c r="Q207" s="65">
        <v>3.7260000000000004</v>
      </c>
      <c r="R207" s="65">
        <v>-0.81300000000000017</v>
      </c>
      <c r="S207" s="65">
        <v>2.7110000000000003</v>
      </c>
      <c r="T207" s="65">
        <v>10.16</v>
      </c>
      <c r="U207" s="65">
        <v>-4.6790000000000012</v>
      </c>
      <c r="V207" s="65">
        <v>-1.37</v>
      </c>
      <c r="W207" s="65">
        <v>-2.9649999999999999</v>
      </c>
      <c r="X207" s="65">
        <v>-4.0019999999999998</v>
      </c>
      <c r="Y207" s="65">
        <v>-4.7969999999999997</v>
      </c>
      <c r="Z207" s="36"/>
      <c r="AA207" s="65">
        <v>0</v>
      </c>
      <c r="AB207" s="60">
        <v>-4.8</v>
      </c>
      <c r="AC207" s="36"/>
      <c r="AD207" s="65">
        <v>0</v>
      </c>
      <c r="AE207" s="60">
        <v>-4.8</v>
      </c>
    </row>
    <row r="208" spans="1:31" ht="18" customHeight="1" x14ac:dyDescent="0.2">
      <c r="A208" s="30" t="s">
        <v>34</v>
      </c>
      <c r="B208" s="30" t="s">
        <v>22</v>
      </c>
      <c r="C208" s="4">
        <v>0</v>
      </c>
      <c r="D208" s="4">
        <v>0</v>
      </c>
      <c r="F208" s="106" t="s">
        <v>57</v>
      </c>
      <c r="H208" s="61">
        <v>0</v>
      </c>
      <c r="I208" s="61">
        <v>0</v>
      </c>
      <c r="J208" s="61">
        <v>0</v>
      </c>
      <c r="K208" s="86">
        <v>0</v>
      </c>
      <c r="L208" s="86">
        <v>0</v>
      </c>
      <c r="M208" s="61">
        <v>0</v>
      </c>
      <c r="N208" s="61">
        <v>0</v>
      </c>
      <c r="O208" s="61">
        <v>0</v>
      </c>
      <c r="P208" s="61">
        <v>0</v>
      </c>
      <c r="Q208" s="61">
        <v>0</v>
      </c>
      <c r="R208" s="61">
        <v>0</v>
      </c>
      <c r="S208" s="61">
        <v>0</v>
      </c>
      <c r="T208" s="61">
        <v>0</v>
      </c>
      <c r="U208" s="61">
        <v>0</v>
      </c>
      <c r="V208" s="61">
        <v>0</v>
      </c>
      <c r="W208" s="61">
        <v>0</v>
      </c>
      <c r="X208" s="61">
        <v>0</v>
      </c>
      <c r="Y208" s="61">
        <v>0</v>
      </c>
      <c r="AA208" s="61">
        <v>0</v>
      </c>
      <c r="AB208" s="60">
        <v>0</v>
      </c>
      <c r="AD208" s="61">
        <v>0</v>
      </c>
      <c r="AE208" s="60">
        <v>0</v>
      </c>
    </row>
    <row r="209" spans="1:31" ht="18" customHeight="1" x14ac:dyDescent="0.2">
      <c r="A209" s="30" t="s">
        <v>221</v>
      </c>
      <c r="B209" s="30" t="s">
        <v>22</v>
      </c>
      <c r="C209" s="4">
        <v>1.0091743119266054</v>
      </c>
      <c r="D209" s="4">
        <v>1.0091743119266054</v>
      </c>
      <c r="F209" s="106" t="s">
        <v>379</v>
      </c>
      <c r="H209" s="61">
        <v>0.93899999999999995</v>
      </c>
      <c r="I209" s="61">
        <v>1.1870000000000001</v>
      </c>
      <c r="J209" s="61">
        <v>1.1870000000000001</v>
      </c>
      <c r="K209" s="86">
        <v>0</v>
      </c>
      <c r="L209" s="86">
        <v>0</v>
      </c>
      <c r="M209" s="61">
        <v>0</v>
      </c>
      <c r="N209" s="61">
        <v>0</v>
      </c>
      <c r="O209" s="61">
        <v>0.54500000000000004</v>
      </c>
      <c r="P209" s="61">
        <v>0</v>
      </c>
      <c r="Q209" s="61">
        <v>0</v>
      </c>
      <c r="R209" s="61">
        <v>0</v>
      </c>
      <c r="S209" s="61">
        <v>0</v>
      </c>
      <c r="T209" s="61">
        <v>0</v>
      </c>
      <c r="U209" s="61">
        <v>0</v>
      </c>
      <c r="V209" s="61">
        <v>0</v>
      </c>
      <c r="W209" s="61">
        <v>0</v>
      </c>
      <c r="X209" s="61">
        <v>0</v>
      </c>
      <c r="Y209" s="61">
        <v>0.54500000000000004</v>
      </c>
      <c r="AA209" s="61">
        <v>0</v>
      </c>
      <c r="AB209" s="60">
        <v>0.55000000000000004</v>
      </c>
      <c r="AD209" s="61">
        <v>0</v>
      </c>
      <c r="AE209" s="60">
        <v>0.55000000000000004</v>
      </c>
    </row>
    <row r="210" spans="1:31" ht="18" customHeight="1" x14ac:dyDescent="0.2">
      <c r="A210" s="30" t="s">
        <v>430</v>
      </c>
      <c r="B210" s="30" t="s">
        <v>22</v>
      </c>
      <c r="C210" s="4">
        <v>0</v>
      </c>
      <c r="D210" s="4">
        <v>0</v>
      </c>
      <c r="F210" s="106" t="s">
        <v>431</v>
      </c>
      <c r="H210" s="61">
        <v>0</v>
      </c>
      <c r="I210" s="61">
        <v>0</v>
      </c>
      <c r="J210" s="61">
        <v>0</v>
      </c>
      <c r="K210" s="86">
        <v>0</v>
      </c>
      <c r="L210" s="86">
        <v>0</v>
      </c>
      <c r="M210" s="61">
        <v>0</v>
      </c>
      <c r="N210" s="61">
        <v>0</v>
      </c>
      <c r="O210" s="61">
        <v>0</v>
      </c>
      <c r="P210" s="61">
        <v>0</v>
      </c>
      <c r="Q210" s="61">
        <v>0</v>
      </c>
      <c r="R210" s="61">
        <v>0</v>
      </c>
      <c r="S210" s="61">
        <v>0</v>
      </c>
      <c r="T210" s="61">
        <v>0</v>
      </c>
      <c r="U210" s="61">
        <v>0</v>
      </c>
      <c r="V210" s="61">
        <v>0</v>
      </c>
      <c r="W210" s="61">
        <v>0</v>
      </c>
      <c r="X210" s="61">
        <v>0</v>
      </c>
      <c r="Y210" s="61">
        <v>0</v>
      </c>
      <c r="AA210" s="61">
        <v>0</v>
      </c>
      <c r="AB210" s="60">
        <v>0</v>
      </c>
      <c r="AD210" s="61">
        <v>0</v>
      </c>
      <c r="AE210" s="60">
        <v>0</v>
      </c>
    </row>
    <row r="211" spans="1:31" ht="18" customHeight="1" x14ac:dyDescent="0.2">
      <c r="A211" s="30" t="s">
        <v>35</v>
      </c>
      <c r="B211" s="30" t="s">
        <v>22</v>
      </c>
      <c r="C211" s="4">
        <v>-1.0022953328232596</v>
      </c>
      <c r="D211" s="4">
        <v>-7.6923076923076919E-3</v>
      </c>
      <c r="F211" s="106" t="s">
        <v>67</v>
      </c>
      <c r="H211" s="61">
        <v>-0.158</v>
      </c>
      <c r="I211" s="61">
        <v>-2.04</v>
      </c>
      <c r="J211" s="61">
        <v>-2.04</v>
      </c>
      <c r="K211" s="86">
        <v>0</v>
      </c>
      <c r="L211" s="86">
        <v>-1.3</v>
      </c>
      <c r="M211" s="61">
        <v>-0.224</v>
      </c>
      <c r="N211" s="61">
        <v>-0.157</v>
      </c>
      <c r="O211" s="61">
        <v>-0.11599999999999999</v>
      </c>
      <c r="P211" s="61">
        <v>-0.10899999999999999</v>
      </c>
      <c r="Q211" s="61">
        <v>1.100000000000001E-2</v>
      </c>
      <c r="R211" s="61">
        <v>-0.17700000000000005</v>
      </c>
      <c r="S211" s="61">
        <v>-0.10899999999999999</v>
      </c>
      <c r="T211" s="61">
        <v>-0.10999999999999999</v>
      </c>
      <c r="U211" s="61">
        <v>-1.5000000000000013E-2</v>
      </c>
      <c r="V211" s="61">
        <v>-8.4999999999999964E-2</v>
      </c>
      <c r="W211" s="61">
        <v>-8.2999999999999963E-2</v>
      </c>
      <c r="X211" s="61">
        <v>-0.13300000000000001</v>
      </c>
      <c r="Y211" s="61">
        <v>-1.3069999999999999</v>
      </c>
      <c r="AA211" s="61">
        <v>0</v>
      </c>
      <c r="AB211" s="60">
        <v>-1.31</v>
      </c>
      <c r="AD211" s="61">
        <v>-1.3</v>
      </c>
      <c r="AE211" s="60">
        <v>-0.01</v>
      </c>
    </row>
    <row r="212" spans="1:31" ht="18" hidden="1" customHeight="1" outlineLevel="1" collapsed="1" x14ac:dyDescent="0.2">
      <c r="A212" s="35"/>
      <c r="B212" s="35"/>
      <c r="C212" s="4"/>
      <c r="D212" s="4"/>
      <c r="F212" s="97" t="s">
        <v>454</v>
      </c>
      <c r="H212" s="74">
        <v>0</v>
      </c>
      <c r="I212" s="74">
        <v>0</v>
      </c>
      <c r="J212" s="74">
        <v>0</v>
      </c>
      <c r="K212" s="112">
        <v>0</v>
      </c>
      <c r="L212" s="112">
        <v>0</v>
      </c>
      <c r="M212" s="74">
        <v>0</v>
      </c>
      <c r="N212" s="74">
        <v>0</v>
      </c>
      <c r="O212" s="74">
        <v>0</v>
      </c>
      <c r="P212" s="74">
        <v>0</v>
      </c>
      <c r="Q212" s="74">
        <v>0</v>
      </c>
      <c r="R212" s="74">
        <v>0</v>
      </c>
      <c r="S212" s="74">
        <v>0</v>
      </c>
      <c r="T212" s="74">
        <v>0</v>
      </c>
      <c r="U212" s="74">
        <v>0</v>
      </c>
      <c r="V212" s="74">
        <v>0</v>
      </c>
      <c r="W212" s="74">
        <v>0</v>
      </c>
      <c r="X212" s="74">
        <v>0</v>
      </c>
      <c r="Y212" s="74">
        <v>0</v>
      </c>
      <c r="AA212" s="74">
        <v>0</v>
      </c>
      <c r="AB212" s="73">
        <v>0</v>
      </c>
      <c r="AD212" s="74">
        <v>0</v>
      </c>
      <c r="AE212" s="73">
        <v>0</v>
      </c>
    </row>
    <row r="213" spans="1:31" ht="18" customHeight="1" collapsed="1" x14ac:dyDescent="0.2">
      <c r="A213" s="30" t="s">
        <v>20</v>
      </c>
      <c r="B213" s="30" t="s">
        <v>22</v>
      </c>
      <c r="C213" s="4">
        <v>0</v>
      </c>
      <c r="D213" s="4">
        <v>0</v>
      </c>
      <c r="F213" s="106" t="s">
        <v>68</v>
      </c>
      <c r="H213" s="61">
        <v>0</v>
      </c>
      <c r="I213" s="61">
        <v>0</v>
      </c>
      <c r="J213" s="61">
        <v>0</v>
      </c>
      <c r="K213" s="86">
        <v>0</v>
      </c>
      <c r="L213" s="86">
        <v>0</v>
      </c>
      <c r="M213" s="61">
        <v>0</v>
      </c>
      <c r="N213" s="61">
        <v>0</v>
      </c>
      <c r="O213" s="61">
        <v>0</v>
      </c>
      <c r="P213" s="61">
        <v>0</v>
      </c>
      <c r="Q213" s="61">
        <v>0</v>
      </c>
      <c r="R213" s="61">
        <v>0</v>
      </c>
      <c r="S213" s="61">
        <v>0</v>
      </c>
      <c r="T213" s="61">
        <v>0</v>
      </c>
      <c r="U213" s="61">
        <v>0</v>
      </c>
      <c r="V213" s="61">
        <v>0</v>
      </c>
      <c r="W213" s="61">
        <v>0</v>
      </c>
      <c r="X213" s="61">
        <v>0</v>
      </c>
      <c r="Y213" s="61">
        <v>0</v>
      </c>
      <c r="AA213" s="61">
        <v>0</v>
      </c>
      <c r="AB213" s="60">
        <v>0</v>
      </c>
      <c r="AD213" s="61">
        <v>0</v>
      </c>
      <c r="AE213" s="60">
        <v>0</v>
      </c>
    </row>
    <row r="214" spans="1:31" ht="18" customHeight="1" x14ac:dyDescent="0.2">
      <c r="A214" s="35"/>
      <c r="B214" s="35"/>
      <c r="C214" s="4">
        <v>-0.29181691833274803</v>
      </c>
      <c r="D214" s="4">
        <v>-4.0936002350676265E-2</v>
      </c>
      <c r="F214" s="95" t="s">
        <v>275</v>
      </c>
      <c r="H214" s="198">
        <v>-469.83</v>
      </c>
      <c r="I214" s="198">
        <v>-434.58600000000001</v>
      </c>
      <c r="J214" s="198">
        <v>-434.58600000000001</v>
      </c>
      <c r="K214" s="89">
        <v>-429.31027</v>
      </c>
      <c r="L214" s="89">
        <v>-532.78284999999994</v>
      </c>
      <c r="M214" s="64">
        <v>-35.611999999999995</v>
      </c>
      <c r="N214" s="64">
        <v>-38.157000000000011</v>
      </c>
      <c r="O214" s="64">
        <v>-38.928999999999988</v>
      </c>
      <c r="P214" s="64">
        <v>-34.174000000000014</v>
      </c>
      <c r="Q214" s="64">
        <v>-34.301999999999985</v>
      </c>
      <c r="R214" s="64">
        <v>-41.163000000000004</v>
      </c>
      <c r="S214" s="64">
        <v>-33.971000000000011</v>
      </c>
      <c r="T214" s="64">
        <v>-27.318999999999971</v>
      </c>
      <c r="U214" s="64">
        <v>-51.299000000000021</v>
      </c>
      <c r="V214" s="64">
        <v>-42.098000000000027</v>
      </c>
      <c r="W214" s="64">
        <v>-125.02999999999997</v>
      </c>
      <c r="X214" s="64">
        <v>-52.534000000000006</v>
      </c>
      <c r="Y214" s="64">
        <v>-554.58800000000008</v>
      </c>
      <c r="AA214" s="64">
        <v>-429.31027</v>
      </c>
      <c r="AB214" s="60">
        <v>-125.28</v>
      </c>
      <c r="AD214" s="64">
        <v>-532.78284999999994</v>
      </c>
      <c r="AE214" s="60">
        <v>-21.81</v>
      </c>
    </row>
    <row r="215" spans="1:31" ht="12.95" customHeight="1" x14ac:dyDescent="0.2">
      <c r="A215" s="35"/>
      <c r="B215" s="35"/>
      <c r="C215" s="4"/>
      <c r="D215" s="4"/>
      <c r="F215" s="39" t="s">
        <v>223</v>
      </c>
      <c r="H215" s="56">
        <v>0.10134787518483804</v>
      </c>
      <c r="I215" s="56">
        <v>9.400313772076363E-2</v>
      </c>
      <c r="J215" s="56">
        <v>9.400313772076363E-2</v>
      </c>
      <c r="K215" s="109">
        <v>8.6777206418893651E-2</v>
      </c>
      <c r="L215" s="109">
        <v>0.10466993626676603</v>
      </c>
      <c r="M215" s="56">
        <v>9.6733623979681896E-2</v>
      </c>
      <c r="N215" s="56">
        <v>9.6663381812378282E-2</v>
      </c>
      <c r="O215" s="56">
        <v>9.4262046989372544E-2</v>
      </c>
      <c r="P215" s="56">
        <v>7.9842809614593849E-2</v>
      </c>
      <c r="Q215" s="56">
        <v>7.5291380407822808E-2</v>
      </c>
      <c r="R215" s="56">
        <v>9.5304577342501959E-2</v>
      </c>
      <c r="S215" s="56">
        <v>8.021051985370338E-2</v>
      </c>
      <c r="T215" s="56">
        <v>6.0621324753134261E-2</v>
      </c>
      <c r="U215" s="56">
        <v>0.12208001751513539</v>
      </c>
      <c r="V215" s="56">
        <v>9.5239387995647337E-2</v>
      </c>
      <c r="W215" s="56">
        <v>0.2728179257284129</v>
      </c>
      <c r="X215" s="56">
        <v>0.11322421990508255</v>
      </c>
      <c r="Y215" s="56">
        <v>0.10768561024266488</v>
      </c>
      <c r="AA215" s="56">
        <v>8.6777206418893651E-2</v>
      </c>
      <c r="AB215" s="57"/>
      <c r="AD215" s="56">
        <v>0.10466993626676603</v>
      </c>
      <c r="AE215" s="57"/>
    </row>
    <row r="216" spans="1:31" ht="6.95" customHeight="1" x14ac:dyDescent="0.2">
      <c r="C216" s="4"/>
      <c r="D216" s="4"/>
      <c r="F216" s="96"/>
      <c r="H216" s="16"/>
      <c r="I216" s="16"/>
      <c r="J216" s="16"/>
      <c r="K216" s="85"/>
      <c r="L216" s="85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AA216" s="16"/>
      <c r="AB216" s="20"/>
      <c r="AD216" s="16"/>
      <c r="AE216" s="20"/>
    </row>
    <row r="217" spans="1:31" ht="18" customHeight="1" x14ac:dyDescent="0.2">
      <c r="A217" s="30" t="s">
        <v>70</v>
      </c>
      <c r="B217" s="30" t="s">
        <v>22</v>
      </c>
      <c r="C217" s="4"/>
      <c r="D217" s="4"/>
      <c r="F217" s="97" t="s">
        <v>226</v>
      </c>
      <c r="H217" s="74">
        <v>2.593</v>
      </c>
      <c r="I217" s="74">
        <v>2.0830000000000002</v>
      </c>
      <c r="J217" s="74">
        <v>2.0830000000000002</v>
      </c>
      <c r="K217" s="112">
        <v>2</v>
      </c>
      <c r="L217" s="112">
        <v>2</v>
      </c>
      <c r="M217" s="74">
        <v>2.004</v>
      </c>
      <c r="N217" s="74">
        <v>1.9920000000000004</v>
      </c>
      <c r="O217" s="74">
        <v>2.0039999999999996</v>
      </c>
      <c r="P217" s="74">
        <v>2.0040000000000013</v>
      </c>
      <c r="Q217" s="74">
        <v>1.9919999999999973</v>
      </c>
      <c r="R217" s="74">
        <v>2.0040000000000013</v>
      </c>
      <c r="S217" s="74">
        <v>2.0040000000000013</v>
      </c>
      <c r="T217" s="74">
        <v>1.9919999999999973</v>
      </c>
      <c r="U217" s="74">
        <v>2.0040000000000013</v>
      </c>
      <c r="V217" s="74">
        <v>2.0040000000000013</v>
      </c>
      <c r="W217" s="74">
        <v>1.9919999999999973</v>
      </c>
      <c r="X217" s="74">
        <v>3.0000000000000036</v>
      </c>
      <c r="Y217" s="74">
        <v>2.0830000000000002</v>
      </c>
      <c r="AA217" s="74">
        <v>2</v>
      </c>
      <c r="AB217" s="73">
        <v>0.08</v>
      </c>
      <c r="AD217" s="74">
        <v>2</v>
      </c>
      <c r="AE217" s="73">
        <v>0.08</v>
      </c>
    </row>
    <row r="218" spans="1:31" ht="12.95" customHeight="1" x14ac:dyDescent="0.2">
      <c r="A218" s="35"/>
      <c r="B218" s="35"/>
      <c r="C218" s="4"/>
      <c r="D218" s="4"/>
      <c r="F218" s="39" t="s">
        <v>71</v>
      </c>
      <c r="H218" s="132">
        <v>-7344.003085229464</v>
      </c>
      <c r="I218" s="132">
        <v>-11841.09457513202</v>
      </c>
      <c r="J218" s="132">
        <v>-11841.09457513202</v>
      </c>
      <c r="K218" s="133">
        <v>-11403.999999999998</v>
      </c>
      <c r="L218" s="133">
        <v>-5754.0000000000009</v>
      </c>
      <c r="M218" s="132">
        <v>216.56686626746503</v>
      </c>
      <c r="N218" s="132">
        <v>-548.69477911646561</v>
      </c>
      <c r="O218" s="132">
        <v>-544.91017964071864</v>
      </c>
      <c r="P218" s="132">
        <v>-600.29940119760431</v>
      </c>
      <c r="Q218" s="132">
        <v>-470.38152610441841</v>
      </c>
      <c r="R218" s="132">
        <v>-568.36327345309337</v>
      </c>
      <c r="S218" s="132">
        <v>-506.98602794411141</v>
      </c>
      <c r="T218" s="132">
        <v>-429.21686746988019</v>
      </c>
      <c r="U218" s="132">
        <v>-668.66267465069768</v>
      </c>
      <c r="V218" s="132">
        <v>-685.12974051896208</v>
      </c>
      <c r="W218" s="132">
        <v>-520.08032128514105</v>
      </c>
      <c r="X218" s="132">
        <v>-757.66666666666549</v>
      </c>
      <c r="Y218" s="132">
        <v>-6204.0326452232348</v>
      </c>
      <c r="AA218" s="132">
        <v>-11403.999999999998</v>
      </c>
      <c r="AB218" s="134">
        <v>5199.97</v>
      </c>
      <c r="AD218" s="132">
        <v>-5754.0000000000009</v>
      </c>
      <c r="AE218" s="134">
        <v>-450.03</v>
      </c>
    </row>
    <row r="219" spans="1:31" ht="18" customHeight="1" x14ac:dyDescent="0.2">
      <c r="A219" s="30" t="s">
        <v>63</v>
      </c>
      <c r="B219" s="30" t="s">
        <v>22</v>
      </c>
      <c r="C219" s="4">
        <v>0.34350256171401961</v>
      </c>
      <c r="D219" s="4">
        <v>-6.8078668683812404E-2</v>
      </c>
      <c r="F219" s="106" t="s">
        <v>201</v>
      </c>
      <c r="H219" s="61">
        <v>-9.1509999999999998</v>
      </c>
      <c r="I219" s="61">
        <v>-7.2229999999999999</v>
      </c>
      <c r="J219" s="61">
        <v>-7.2229999999999999</v>
      </c>
      <c r="K219" s="86">
        <v>-8.5879999999999992</v>
      </c>
      <c r="L219" s="86">
        <v>-5.2880000000000003</v>
      </c>
      <c r="M219" s="61">
        <v>-0.47</v>
      </c>
      <c r="N219" s="61">
        <v>-0.47099999999999997</v>
      </c>
      <c r="O219" s="61">
        <v>-0.47000000000000008</v>
      </c>
      <c r="P219" s="61">
        <v>-0.47</v>
      </c>
      <c r="Q219" s="61">
        <v>-0.47</v>
      </c>
      <c r="R219" s="61">
        <v>-0.47100000000000009</v>
      </c>
      <c r="S219" s="61">
        <v>-0.46999999999999975</v>
      </c>
      <c r="T219" s="61">
        <v>-0.4700000000000002</v>
      </c>
      <c r="U219" s="61">
        <v>-0.47099999999999964</v>
      </c>
      <c r="V219" s="61">
        <v>-0.47000000000000064</v>
      </c>
      <c r="W219" s="61">
        <v>-0.46999999999999975</v>
      </c>
      <c r="X219" s="61">
        <v>-0.46999999999999975</v>
      </c>
      <c r="Y219" s="61">
        <v>-5.6429999999999998</v>
      </c>
      <c r="AA219" s="61">
        <v>-8.5879999999999992</v>
      </c>
      <c r="AB219" s="60">
        <v>2.95</v>
      </c>
      <c r="AD219" s="61">
        <v>-5.2880000000000003</v>
      </c>
      <c r="AE219" s="60">
        <v>-0.36</v>
      </c>
    </row>
    <row r="220" spans="1:31" ht="18" customHeight="1" x14ac:dyDescent="0.2">
      <c r="A220" s="30" t="s">
        <v>64</v>
      </c>
      <c r="B220" s="30" t="s">
        <v>22</v>
      </c>
      <c r="C220" s="4">
        <v>0.28099372889532082</v>
      </c>
      <c r="D220" s="4">
        <v>-0.3294746215494212</v>
      </c>
      <c r="F220" s="106" t="s">
        <v>202</v>
      </c>
      <c r="H220" s="61">
        <v>-6.1669999999999998</v>
      </c>
      <c r="I220" s="61">
        <v>-6.6710000000000003</v>
      </c>
      <c r="J220" s="61">
        <v>-6.6710000000000003</v>
      </c>
      <c r="K220" s="86">
        <v>-8.2919999999999998</v>
      </c>
      <c r="L220" s="86">
        <v>-4.492</v>
      </c>
      <c r="M220" s="61">
        <v>-0.56000000000000005</v>
      </c>
      <c r="N220" s="61">
        <v>-0.49099999999999988</v>
      </c>
      <c r="O220" s="61">
        <v>-0.498</v>
      </c>
      <c r="P220" s="61">
        <v>-0.54099999999999993</v>
      </c>
      <c r="Q220" s="61">
        <v>-0.31200000000000028</v>
      </c>
      <c r="R220" s="61">
        <v>-0.23999999999999977</v>
      </c>
      <c r="S220" s="61">
        <v>-0.42100000000000026</v>
      </c>
      <c r="T220" s="61">
        <v>-0.22999999999999998</v>
      </c>
      <c r="U220" s="61">
        <v>-0.74399999999999977</v>
      </c>
      <c r="V220" s="61">
        <v>-0.61300000000000043</v>
      </c>
      <c r="W220" s="61">
        <v>-0.33699999999999974</v>
      </c>
      <c r="X220" s="61">
        <v>-0.97999999999999954</v>
      </c>
      <c r="Y220" s="61">
        <v>-5.9669999999999996</v>
      </c>
      <c r="AA220" s="61">
        <v>-8.2919999999999998</v>
      </c>
      <c r="AB220" s="60">
        <v>2.33</v>
      </c>
      <c r="AD220" s="61">
        <v>-4.492</v>
      </c>
      <c r="AE220" s="60">
        <v>-1.48</v>
      </c>
    </row>
    <row r="221" spans="1:31" ht="18" hidden="1" customHeight="1" outlineLevel="1" x14ac:dyDescent="0.2">
      <c r="A221" s="30" t="s">
        <v>150</v>
      </c>
      <c r="B221" s="30" t="s">
        <v>22</v>
      </c>
      <c r="C221" s="4">
        <v>0.37251655629139074</v>
      </c>
      <c r="D221" s="4">
        <v>-4.9479166666666652</v>
      </c>
      <c r="F221" s="38" t="s">
        <v>151</v>
      </c>
      <c r="G221" s="34"/>
      <c r="H221" s="66">
        <v>-0.88600000000000001</v>
      </c>
      <c r="I221" s="66">
        <v>-4.2709999999999999</v>
      </c>
      <c r="J221" s="66">
        <v>-4.2709999999999999</v>
      </c>
      <c r="K221" s="86">
        <v>-1.208</v>
      </c>
      <c r="L221" s="86">
        <v>0.192</v>
      </c>
      <c r="M221" s="66">
        <v>-0.41099999999999998</v>
      </c>
      <c r="N221" s="66">
        <v>2.4999999999999967E-2</v>
      </c>
      <c r="O221" s="66">
        <v>0</v>
      </c>
      <c r="P221" s="66">
        <v>-6.7000000000000004E-2</v>
      </c>
      <c r="Q221" s="66">
        <v>0</v>
      </c>
      <c r="R221" s="66">
        <v>-0.30299999999999999</v>
      </c>
      <c r="S221" s="66">
        <v>0</v>
      </c>
      <c r="T221" s="66">
        <v>0</v>
      </c>
      <c r="U221" s="66">
        <v>0</v>
      </c>
      <c r="V221" s="66">
        <v>0</v>
      </c>
      <c r="W221" s="66">
        <v>0</v>
      </c>
      <c r="X221" s="66">
        <v>0</v>
      </c>
      <c r="Y221" s="66">
        <v>-0.75600000000000001</v>
      </c>
      <c r="Z221" s="34"/>
      <c r="AA221" s="66">
        <v>-1.208</v>
      </c>
      <c r="AB221" s="60">
        <v>0.45</v>
      </c>
      <c r="AC221" s="34"/>
      <c r="AD221" s="66">
        <v>0.19200000000000003</v>
      </c>
      <c r="AE221" s="60">
        <v>-0.95</v>
      </c>
    </row>
    <row r="222" spans="1:31" ht="18" hidden="1" customHeight="1" outlineLevel="1" x14ac:dyDescent="0.2">
      <c r="A222" s="30" t="s">
        <v>168</v>
      </c>
      <c r="B222" s="30" t="s">
        <v>22</v>
      </c>
      <c r="C222" s="4">
        <v>0.22875816993464052</v>
      </c>
      <c r="D222" s="4">
        <v>0.22875816993464052</v>
      </c>
      <c r="F222" s="38" t="s">
        <v>169</v>
      </c>
      <c r="G222" s="34"/>
      <c r="H222" s="66">
        <v>-2.13</v>
      </c>
      <c r="I222" s="66">
        <v>-3.1960000000000002</v>
      </c>
      <c r="J222" s="66">
        <v>-3.1960000000000002</v>
      </c>
      <c r="K222" s="86">
        <v>-1.53</v>
      </c>
      <c r="L222" s="86">
        <v>-1.53</v>
      </c>
      <c r="M222" s="66">
        <v>-9.8000000000000004E-2</v>
      </c>
      <c r="N222" s="66">
        <v>-9.8000000000000004E-2</v>
      </c>
      <c r="O222" s="66">
        <v>-9.7999999999999976E-2</v>
      </c>
      <c r="P222" s="66">
        <v>-9.8000000000000032E-2</v>
      </c>
      <c r="Q222" s="66">
        <v>-9.7999999999999976E-2</v>
      </c>
      <c r="R222" s="66">
        <v>-9.7999999999999976E-2</v>
      </c>
      <c r="S222" s="66">
        <v>-9.8000000000000087E-2</v>
      </c>
      <c r="T222" s="66">
        <v>-9.7999999999999976E-2</v>
      </c>
      <c r="U222" s="66">
        <v>-9.7999999999999976E-2</v>
      </c>
      <c r="V222" s="66">
        <v>-9.7999999999999976E-2</v>
      </c>
      <c r="W222" s="66">
        <v>-9.8000000000000087E-2</v>
      </c>
      <c r="X222" s="66">
        <v>-9.8999999999999977E-2</v>
      </c>
      <c r="Y222" s="66">
        <v>-1.177</v>
      </c>
      <c r="Z222" s="34"/>
      <c r="AA222" s="66">
        <v>-1.53</v>
      </c>
      <c r="AB222" s="60">
        <v>0.35</v>
      </c>
      <c r="AC222" s="34"/>
      <c r="AD222" s="66">
        <v>-1.53</v>
      </c>
      <c r="AE222" s="60">
        <v>0.35</v>
      </c>
    </row>
    <row r="223" spans="1:31" ht="18" hidden="1" customHeight="1" outlineLevel="1" x14ac:dyDescent="0.2">
      <c r="A223" s="30" t="s">
        <v>170</v>
      </c>
      <c r="B223" s="30" t="s">
        <v>22</v>
      </c>
      <c r="C223" s="4">
        <v>0.98870056497175152</v>
      </c>
      <c r="D223" s="4">
        <v>-1.0869565217391304</v>
      </c>
      <c r="F223" s="38" t="s">
        <v>171</v>
      </c>
      <c r="G223" s="34"/>
      <c r="H223" s="66">
        <v>-0.66800000000000004</v>
      </c>
      <c r="I223" s="66">
        <v>0</v>
      </c>
      <c r="J223" s="66">
        <v>0</v>
      </c>
      <c r="K223" s="86">
        <v>-0.35399999999999998</v>
      </c>
      <c r="L223" s="86">
        <v>4.5999999999999999E-2</v>
      </c>
      <c r="M223" s="66">
        <v>0</v>
      </c>
      <c r="N223" s="66">
        <v>0</v>
      </c>
      <c r="O223" s="66">
        <v>0</v>
      </c>
      <c r="P223" s="66">
        <v>0</v>
      </c>
      <c r="Q223" s="66">
        <v>0</v>
      </c>
      <c r="R223" s="66">
        <v>0</v>
      </c>
      <c r="S223" s="66">
        <v>0</v>
      </c>
      <c r="T223" s="66">
        <v>0</v>
      </c>
      <c r="U223" s="66">
        <v>0</v>
      </c>
      <c r="V223" s="66">
        <v>0</v>
      </c>
      <c r="W223" s="66">
        <v>0</v>
      </c>
      <c r="X223" s="66">
        <v>0</v>
      </c>
      <c r="Y223" s="66">
        <v>0</v>
      </c>
      <c r="Z223" s="34"/>
      <c r="AA223" s="66">
        <v>-0.35399999999999993</v>
      </c>
      <c r="AB223" s="60">
        <v>0.35</v>
      </c>
      <c r="AC223" s="34"/>
      <c r="AD223" s="66">
        <v>4.6000000000000006E-2</v>
      </c>
      <c r="AE223" s="60">
        <v>-0.05</v>
      </c>
    </row>
    <row r="224" spans="1:31" ht="18" customHeight="1" collapsed="1" x14ac:dyDescent="0.2">
      <c r="A224" s="35"/>
      <c r="B224" s="35"/>
      <c r="C224" s="4">
        <v>0.37516170763260021</v>
      </c>
      <c r="D224" s="4">
        <v>-0.49535603715170279</v>
      </c>
      <c r="F224" s="106" t="s">
        <v>151</v>
      </c>
      <c r="H224" s="61">
        <v>-3.6840000000000002</v>
      </c>
      <c r="I224" s="61">
        <v>-7.4670000000000005</v>
      </c>
      <c r="J224" s="61">
        <v>-7.4670000000000005</v>
      </c>
      <c r="K224" s="86">
        <v>-3.0920000000000001</v>
      </c>
      <c r="L224" s="86">
        <v>-1.292</v>
      </c>
      <c r="M224" s="61">
        <v>-0.50900000000000001</v>
      </c>
      <c r="N224" s="61">
        <v>-7.3000000000000037E-2</v>
      </c>
      <c r="O224" s="61">
        <v>-9.7999999999999976E-2</v>
      </c>
      <c r="P224" s="61">
        <v>-0.16500000000000004</v>
      </c>
      <c r="Q224" s="61">
        <v>-9.7999999999999976E-2</v>
      </c>
      <c r="R224" s="61">
        <v>-0.40099999999999997</v>
      </c>
      <c r="S224" s="61">
        <v>-9.8000000000000087E-2</v>
      </c>
      <c r="T224" s="61">
        <v>-9.7999999999999976E-2</v>
      </c>
      <c r="U224" s="61">
        <v>-9.7999999999999976E-2</v>
      </c>
      <c r="V224" s="61">
        <v>-9.7999999999999976E-2</v>
      </c>
      <c r="W224" s="61">
        <v>-9.8000000000000087E-2</v>
      </c>
      <c r="X224" s="61">
        <v>-9.8999999999999977E-2</v>
      </c>
      <c r="Y224" s="61">
        <v>-1.9330000000000001</v>
      </c>
      <c r="AA224" s="61">
        <v>-3.0920000000000001</v>
      </c>
      <c r="AB224" s="60">
        <v>1.1599999999999999</v>
      </c>
      <c r="AD224" s="61">
        <v>-1.292</v>
      </c>
      <c r="AE224" s="60">
        <v>-0.64</v>
      </c>
    </row>
    <row r="225" spans="1:39" ht="18" customHeight="1" collapsed="1" x14ac:dyDescent="0.2">
      <c r="A225" s="30" t="s">
        <v>146</v>
      </c>
      <c r="B225" s="30" t="s">
        <v>22</v>
      </c>
      <c r="C225" s="4">
        <v>-4.2016806722689079E-2</v>
      </c>
      <c r="D225" s="4">
        <v>-4.2016806722689079E-2</v>
      </c>
      <c r="F225" s="106" t="s">
        <v>147</v>
      </c>
      <c r="H225" s="61">
        <v>-0.39300000000000002</v>
      </c>
      <c r="I225" s="61">
        <v>-0.32200000000000001</v>
      </c>
      <c r="J225" s="61">
        <v>-0.32200000000000001</v>
      </c>
      <c r="K225" s="86">
        <v>-0.47599999999999998</v>
      </c>
      <c r="L225" s="86">
        <v>-0.47599999999999998</v>
      </c>
      <c r="M225" s="61">
        <v>-2.7E-2</v>
      </c>
      <c r="N225" s="61">
        <v>-2.7E-2</v>
      </c>
      <c r="O225" s="61">
        <v>-2.6000000000000002E-2</v>
      </c>
      <c r="P225" s="61">
        <v>-2.6999999999999996E-2</v>
      </c>
      <c r="Q225" s="61">
        <v>-2.700000000000001E-2</v>
      </c>
      <c r="R225" s="61">
        <v>-2.6999999999999996E-2</v>
      </c>
      <c r="S225" s="61">
        <v>-2.6999999999999996E-2</v>
      </c>
      <c r="T225" s="61">
        <v>-2.5999999999999995E-2</v>
      </c>
      <c r="U225" s="61">
        <v>-2.6999999999999996E-2</v>
      </c>
      <c r="V225" s="61">
        <v>-0.192</v>
      </c>
      <c r="W225" s="61">
        <v>-0.10000000000000003</v>
      </c>
      <c r="X225" s="61">
        <v>3.400000000000003E-2</v>
      </c>
      <c r="Y225" s="61">
        <v>-0.499</v>
      </c>
      <c r="AA225" s="61">
        <v>-0.47599999999999998</v>
      </c>
      <c r="AB225" s="60">
        <v>-0.02</v>
      </c>
      <c r="AD225" s="61">
        <v>-0.47599999999999998</v>
      </c>
      <c r="AE225" s="60">
        <v>-0.02</v>
      </c>
    </row>
    <row r="226" spans="1:39" ht="18" hidden="1" customHeight="1" outlineLevel="1" x14ac:dyDescent="0.2">
      <c r="A226" s="30" t="s">
        <v>154</v>
      </c>
      <c r="B226" s="30" t="s">
        <v>22</v>
      </c>
      <c r="C226" s="4">
        <v>4.7916666666666661</v>
      </c>
      <c r="D226" s="4">
        <v>72.499999999999986</v>
      </c>
      <c r="F226" s="38" t="s">
        <v>155</v>
      </c>
      <c r="G226" s="34"/>
      <c r="H226" s="66">
        <v>0</v>
      </c>
      <c r="I226" s="66">
        <v>-2</v>
      </c>
      <c r="J226" s="66">
        <v>-2</v>
      </c>
      <c r="K226" s="86">
        <v>-0.52800000000000002</v>
      </c>
      <c r="L226" s="86">
        <v>-2.8000000000000001E-2</v>
      </c>
      <c r="M226" s="66">
        <v>2</v>
      </c>
      <c r="N226" s="66">
        <v>0</v>
      </c>
      <c r="O226" s="66">
        <v>0</v>
      </c>
      <c r="P226" s="66">
        <v>0</v>
      </c>
      <c r="Q226" s="66">
        <v>0</v>
      </c>
      <c r="R226" s="66">
        <v>0</v>
      </c>
      <c r="S226" s="66">
        <v>0</v>
      </c>
      <c r="T226" s="66">
        <v>0</v>
      </c>
      <c r="U226" s="66">
        <v>0</v>
      </c>
      <c r="V226" s="66">
        <v>0</v>
      </c>
      <c r="W226" s="66">
        <v>0</v>
      </c>
      <c r="X226" s="66">
        <v>0</v>
      </c>
      <c r="Y226" s="66">
        <v>2</v>
      </c>
      <c r="Z226" s="34"/>
      <c r="AA226" s="66">
        <v>-0.52800000000000002</v>
      </c>
      <c r="AB226" s="60">
        <v>2.5299999999999998</v>
      </c>
      <c r="AC226" s="34"/>
      <c r="AD226" s="66">
        <v>-2.8000000000000001E-2</v>
      </c>
      <c r="AE226" s="60">
        <v>2.0299999999999998</v>
      </c>
    </row>
    <row r="227" spans="1:39" ht="18" hidden="1" customHeight="1" outlineLevel="1" x14ac:dyDescent="0.2">
      <c r="A227" s="30" t="s">
        <v>156</v>
      </c>
      <c r="B227" s="30" t="s">
        <v>22</v>
      </c>
      <c r="C227" s="4">
        <v>0.99462365591397839</v>
      </c>
      <c r="D227" s="4">
        <v>-1.0714285714285714</v>
      </c>
      <c r="F227" s="38" t="s">
        <v>157</v>
      </c>
      <c r="G227" s="34"/>
      <c r="H227" s="66">
        <v>-1.0760000000000001</v>
      </c>
      <c r="I227" s="66">
        <v>0</v>
      </c>
      <c r="J227" s="66">
        <v>0</v>
      </c>
      <c r="K227" s="86">
        <v>-0.372</v>
      </c>
      <c r="L227" s="86">
        <v>2.8000000000000001E-2</v>
      </c>
      <c r="M227" s="66">
        <v>0</v>
      </c>
      <c r="N227" s="66">
        <v>0</v>
      </c>
      <c r="O227" s="66">
        <v>0</v>
      </c>
      <c r="P227" s="66">
        <v>0</v>
      </c>
      <c r="Q227" s="66">
        <v>0</v>
      </c>
      <c r="R227" s="66">
        <v>0</v>
      </c>
      <c r="S227" s="66">
        <v>0</v>
      </c>
      <c r="T227" s="66">
        <v>0</v>
      </c>
      <c r="U227" s="66">
        <v>0</v>
      </c>
      <c r="V227" s="66">
        <v>0</v>
      </c>
      <c r="W227" s="66">
        <v>0</v>
      </c>
      <c r="X227" s="66">
        <v>0</v>
      </c>
      <c r="Y227" s="66">
        <v>0</v>
      </c>
      <c r="Z227" s="34"/>
      <c r="AA227" s="66">
        <v>-0.37200000000000005</v>
      </c>
      <c r="AB227" s="60">
        <v>0.37</v>
      </c>
      <c r="AC227" s="34"/>
      <c r="AD227" s="66">
        <v>2.8000000000000001E-2</v>
      </c>
      <c r="AE227" s="60">
        <v>-0.03</v>
      </c>
    </row>
    <row r="228" spans="1:39" ht="18" hidden="1" customHeight="1" outlineLevel="1" x14ac:dyDescent="0.2">
      <c r="A228" s="30" t="s">
        <v>160</v>
      </c>
      <c r="B228" s="30" t="s">
        <v>22</v>
      </c>
      <c r="C228" s="4">
        <v>0</v>
      </c>
      <c r="D228" s="4">
        <v>0</v>
      </c>
      <c r="F228" s="38" t="s">
        <v>161</v>
      </c>
      <c r="G228" s="34"/>
      <c r="H228" s="66">
        <v>2.8620000000000001</v>
      </c>
      <c r="I228" s="66">
        <v>0</v>
      </c>
      <c r="J228" s="66">
        <v>0</v>
      </c>
      <c r="K228" s="86">
        <v>0</v>
      </c>
      <c r="L228" s="86">
        <v>0</v>
      </c>
      <c r="M228" s="66">
        <v>0</v>
      </c>
      <c r="N228" s="66">
        <v>0</v>
      </c>
      <c r="O228" s="66">
        <v>0</v>
      </c>
      <c r="P228" s="66">
        <v>0</v>
      </c>
      <c r="Q228" s="66">
        <v>0</v>
      </c>
      <c r="R228" s="66">
        <v>0</v>
      </c>
      <c r="S228" s="66">
        <v>0</v>
      </c>
      <c r="T228" s="66">
        <v>0</v>
      </c>
      <c r="U228" s="66">
        <v>0</v>
      </c>
      <c r="V228" s="66">
        <v>0</v>
      </c>
      <c r="W228" s="66">
        <v>0</v>
      </c>
      <c r="X228" s="66">
        <v>0</v>
      </c>
      <c r="Y228" s="66">
        <v>0</v>
      </c>
      <c r="Z228" s="34"/>
      <c r="AA228" s="66">
        <v>0</v>
      </c>
      <c r="AB228" s="60">
        <v>0</v>
      </c>
      <c r="AC228" s="34"/>
      <c r="AD228" s="66">
        <v>0</v>
      </c>
      <c r="AE228" s="60">
        <v>0</v>
      </c>
    </row>
    <row r="229" spans="1:39" ht="18" customHeight="1" collapsed="1" x14ac:dyDescent="0.2">
      <c r="A229" s="35"/>
      <c r="B229" s="35"/>
      <c r="C229" s="4">
        <v>3.2222222222222219</v>
      </c>
      <c r="D229" s="4">
        <v>1</v>
      </c>
      <c r="F229" s="106" t="s">
        <v>378</v>
      </c>
      <c r="H229" s="61">
        <v>1.786</v>
      </c>
      <c r="I229" s="61">
        <v>-2</v>
      </c>
      <c r="J229" s="61">
        <v>-2</v>
      </c>
      <c r="K229" s="86">
        <v>-0.9</v>
      </c>
      <c r="L229" s="86">
        <v>0</v>
      </c>
      <c r="M229" s="61">
        <v>2</v>
      </c>
      <c r="N229" s="61">
        <v>0</v>
      </c>
      <c r="O229" s="61">
        <v>0</v>
      </c>
      <c r="P229" s="61">
        <v>0</v>
      </c>
      <c r="Q229" s="61">
        <v>0</v>
      </c>
      <c r="R229" s="61">
        <v>0</v>
      </c>
      <c r="S229" s="61">
        <v>0</v>
      </c>
      <c r="T229" s="61">
        <v>0</v>
      </c>
      <c r="U229" s="61">
        <v>0</v>
      </c>
      <c r="V229" s="61">
        <v>0</v>
      </c>
      <c r="W229" s="61">
        <v>0</v>
      </c>
      <c r="X229" s="61">
        <v>0</v>
      </c>
      <c r="Y229" s="61">
        <v>2</v>
      </c>
      <c r="AA229" s="61">
        <v>-0.9</v>
      </c>
      <c r="AB229" s="60">
        <v>2.9</v>
      </c>
      <c r="AD229" s="61">
        <v>0</v>
      </c>
      <c r="AE229" s="60">
        <v>2</v>
      </c>
    </row>
    <row r="230" spans="1:39" ht="18" customHeight="1" x14ac:dyDescent="0.2">
      <c r="A230" s="30" t="s">
        <v>408</v>
      </c>
      <c r="B230" s="30" t="s">
        <v>22</v>
      </c>
      <c r="C230" s="4"/>
      <c r="D230" s="4"/>
      <c r="F230" s="106" t="s">
        <v>409</v>
      </c>
      <c r="H230" s="61">
        <v>-0.183</v>
      </c>
      <c r="I230" s="61">
        <v>-0.14199999999999999</v>
      </c>
      <c r="J230" s="61">
        <v>-0.14199999999999999</v>
      </c>
      <c r="K230" s="86">
        <v>0</v>
      </c>
      <c r="L230" s="86">
        <v>0</v>
      </c>
      <c r="M230" s="61">
        <v>0</v>
      </c>
      <c r="N230" s="61">
        <v>-3.1E-2</v>
      </c>
      <c r="O230" s="61">
        <v>0</v>
      </c>
      <c r="P230" s="61">
        <v>0</v>
      </c>
      <c r="Q230" s="61">
        <v>-0.03</v>
      </c>
      <c r="R230" s="61">
        <v>0</v>
      </c>
      <c r="S230" s="61">
        <v>0</v>
      </c>
      <c r="T230" s="61">
        <v>-3.1E-2</v>
      </c>
      <c r="U230" s="61">
        <v>0</v>
      </c>
      <c r="V230" s="61">
        <v>0</v>
      </c>
      <c r="W230" s="61">
        <v>-3.1E-2</v>
      </c>
      <c r="X230" s="61">
        <v>0</v>
      </c>
      <c r="Y230" s="61">
        <v>-0.123</v>
      </c>
      <c r="AA230" s="61">
        <v>0</v>
      </c>
      <c r="AB230" s="60">
        <v>-0.12</v>
      </c>
      <c r="AD230" s="61">
        <v>0</v>
      </c>
      <c r="AE230" s="60">
        <v>-0.12</v>
      </c>
      <c r="AM230"/>
    </row>
    <row r="231" spans="1:39" ht="18" hidden="1" customHeight="1" outlineLevel="1" x14ac:dyDescent="0.2">
      <c r="A231" s="30" t="s">
        <v>148</v>
      </c>
      <c r="B231" s="30" t="s">
        <v>22</v>
      </c>
      <c r="C231" s="4">
        <v>0</v>
      </c>
      <c r="D231" s="4">
        <v>0</v>
      </c>
      <c r="F231" s="38" t="s">
        <v>149</v>
      </c>
      <c r="G231" s="34"/>
      <c r="H231" s="66">
        <v>0</v>
      </c>
      <c r="I231" s="66">
        <v>0</v>
      </c>
      <c r="J231" s="66">
        <v>0</v>
      </c>
      <c r="K231" s="86">
        <v>0</v>
      </c>
      <c r="L231" s="86">
        <v>0</v>
      </c>
      <c r="M231" s="66">
        <v>0</v>
      </c>
      <c r="N231" s="66">
        <v>0</v>
      </c>
      <c r="O231" s="66">
        <v>0</v>
      </c>
      <c r="P231" s="66">
        <v>0</v>
      </c>
      <c r="Q231" s="66">
        <v>0</v>
      </c>
      <c r="R231" s="66">
        <v>0</v>
      </c>
      <c r="S231" s="66">
        <v>0</v>
      </c>
      <c r="T231" s="66">
        <v>0</v>
      </c>
      <c r="U231" s="66">
        <v>0</v>
      </c>
      <c r="V231" s="66">
        <v>0</v>
      </c>
      <c r="W231" s="66">
        <v>0</v>
      </c>
      <c r="X231" s="66">
        <v>0</v>
      </c>
      <c r="Y231" s="66">
        <v>0</v>
      </c>
      <c r="Z231" s="34"/>
      <c r="AA231" s="66">
        <v>0</v>
      </c>
      <c r="AB231" s="60">
        <v>0</v>
      </c>
      <c r="AC231" s="34"/>
      <c r="AD231" s="66">
        <v>0</v>
      </c>
      <c r="AE231" s="60">
        <v>0</v>
      </c>
    </row>
    <row r="232" spans="1:39" ht="18" hidden="1" customHeight="1" outlineLevel="1" x14ac:dyDescent="0.2">
      <c r="A232" s="30" t="s">
        <v>158</v>
      </c>
      <c r="B232" s="30" t="s">
        <v>22</v>
      </c>
      <c r="C232" s="4">
        <v>0.99999999999999989</v>
      </c>
      <c r="D232" s="4">
        <v>0</v>
      </c>
      <c r="F232" s="38" t="s">
        <v>159</v>
      </c>
      <c r="G232" s="34"/>
      <c r="H232" s="66">
        <v>-5.1999999999999998E-2</v>
      </c>
      <c r="I232" s="66">
        <v>-8.5999999999999993E-2</v>
      </c>
      <c r="J232" s="66">
        <v>-8.5999999999999993E-2</v>
      </c>
      <c r="K232" s="86">
        <v>-0.8</v>
      </c>
      <c r="L232" s="86">
        <v>0</v>
      </c>
      <c r="M232" s="66">
        <v>0</v>
      </c>
      <c r="N232" s="66">
        <v>0</v>
      </c>
      <c r="O232" s="66">
        <v>0</v>
      </c>
      <c r="P232" s="66">
        <v>0</v>
      </c>
      <c r="Q232" s="66">
        <v>0</v>
      </c>
      <c r="R232" s="66">
        <v>0</v>
      </c>
      <c r="S232" s="66">
        <v>0</v>
      </c>
      <c r="T232" s="66">
        <v>0</v>
      </c>
      <c r="U232" s="66">
        <v>0</v>
      </c>
      <c r="V232" s="66">
        <v>0</v>
      </c>
      <c r="W232" s="66">
        <v>0</v>
      </c>
      <c r="X232" s="66">
        <v>0</v>
      </c>
      <c r="Y232" s="66">
        <v>0</v>
      </c>
      <c r="Z232" s="34"/>
      <c r="AA232" s="66">
        <v>-0.80000000000000016</v>
      </c>
      <c r="AB232" s="60">
        <v>0.8</v>
      </c>
      <c r="AC232" s="34"/>
      <c r="AD232" s="66">
        <v>0</v>
      </c>
      <c r="AE232" s="60">
        <v>0</v>
      </c>
    </row>
    <row r="233" spans="1:39" ht="18" hidden="1" customHeight="1" outlineLevel="1" x14ac:dyDescent="0.2">
      <c r="A233" s="30" t="s">
        <v>152</v>
      </c>
      <c r="B233" s="30" t="s">
        <v>22</v>
      </c>
      <c r="C233" s="4">
        <v>0</v>
      </c>
      <c r="D233" s="4">
        <v>0</v>
      </c>
      <c r="F233" s="38" t="s">
        <v>153</v>
      </c>
      <c r="G233" s="34"/>
      <c r="H233" s="66">
        <v>0</v>
      </c>
      <c r="I233" s="66">
        <v>0</v>
      </c>
      <c r="J233" s="66">
        <v>0</v>
      </c>
      <c r="K233" s="86">
        <v>0</v>
      </c>
      <c r="L233" s="86">
        <v>0</v>
      </c>
      <c r="M233" s="66">
        <v>0</v>
      </c>
      <c r="N233" s="66">
        <v>0</v>
      </c>
      <c r="O233" s="66">
        <v>0</v>
      </c>
      <c r="P233" s="66">
        <v>0</v>
      </c>
      <c r="Q233" s="66">
        <v>0</v>
      </c>
      <c r="R233" s="66">
        <v>0</v>
      </c>
      <c r="S233" s="66">
        <v>0</v>
      </c>
      <c r="T233" s="66">
        <v>0</v>
      </c>
      <c r="U233" s="66">
        <v>0</v>
      </c>
      <c r="V233" s="66">
        <v>0</v>
      </c>
      <c r="W233" s="66">
        <v>0</v>
      </c>
      <c r="X233" s="66">
        <v>0</v>
      </c>
      <c r="Y233" s="66">
        <v>0</v>
      </c>
      <c r="Z233" s="34"/>
      <c r="AA233" s="66">
        <v>0</v>
      </c>
      <c r="AB233" s="60">
        <v>0</v>
      </c>
      <c r="AC233" s="34"/>
      <c r="AD233" s="66">
        <v>0</v>
      </c>
      <c r="AE233" s="60">
        <v>0</v>
      </c>
    </row>
    <row r="234" spans="1:39" ht="18" hidden="1" customHeight="1" outlineLevel="1" x14ac:dyDescent="0.2">
      <c r="A234" s="30" t="s">
        <v>269</v>
      </c>
      <c r="B234" s="30" t="s">
        <v>22</v>
      </c>
      <c r="C234" s="4">
        <v>0</v>
      </c>
      <c r="D234" s="4">
        <v>0</v>
      </c>
      <c r="F234" s="38" t="s">
        <v>271</v>
      </c>
      <c r="G234" s="34"/>
      <c r="H234" s="66">
        <v>0</v>
      </c>
      <c r="I234" s="66">
        <v>0</v>
      </c>
      <c r="J234" s="66">
        <v>0</v>
      </c>
      <c r="K234" s="86">
        <v>0</v>
      </c>
      <c r="L234" s="86">
        <v>0</v>
      </c>
      <c r="M234" s="66">
        <v>0</v>
      </c>
      <c r="N234" s="66">
        <v>0</v>
      </c>
      <c r="O234" s="66">
        <v>0</v>
      </c>
      <c r="P234" s="66">
        <v>0</v>
      </c>
      <c r="Q234" s="66">
        <v>0</v>
      </c>
      <c r="R234" s="66">
        <v>0</v>
      </c>
      <c r="S234" s="66">
        <v>0</v>
      </c>
      <c r="T234" s="66">
        <v>0</v>
      </c>
      <c r="U234" s="66">
        <v>0</v>
      </c>
      <c r="V234" s="66">
        <v>0</v>
      </c>
      <c r="W234" s="66">
        <v>0</v>
      </c>
      <c r="X234" s="66">
        <v>0</v>
      </c>
      <c r="Y234" s="66">
        <v>0</v>
      </c>
      <c r="Z234" s="34"/>
      <c r="AA234" s="66">
        <v>0</v>
      </c>
      <c r="AB234" s="60">
        <v>0</v>
      </c>
      <c r="AC234" s="34"/>
      <c r="AD234" s="66">
        <v>0</v>
      </c>
      <c r="AE234" s="60">
        <v>0</v>
      </c>
    </row>
    <row r="235" spans="1:39" ht="18" hidden="1" customHeight="1" outlineLevel="1" x14ac:dyDescent="0.2">
      <c r="A235" s="30" t="s">
        <v>270</v>
      </c>
      <c r="B235" s="30" t="s">
        <v>22</v>
      </c>
      <c r="C235" s="4">
        <v>0</v>
      </c>
      <c r="D235" s="4">
        <v>0</v>
      </c>
      <c r="F235" s="38" t="s">
        <v>272</v>
      </c>
      <c r="G235" s="34"/>
      <c r="H235" s="66">
        <v>-0.04</v>
      </c>
      <c r="I235" s="66">
        <v>0</v>
      </c>
      <c r="J235" s="66">
        <v>0</v>
      </c>
      <c r="K235" s="86">
        <v>0</v>
      </c>
      <c r="L235" s="86">
        <v>0</v>
      </c>
      <c r="M235" s="66">
        <v>0</v>
      </c>
      <c r="N235" s="66">
        <v>0</v>
      </c>
      <c r="O235" s="66">
        <v>0</v>
      </c>
      <c r="P235" s="66">
        <v>0</v>
      </c>
      <c r="Q235" s="66">
        <v>0</v>
      </c>
      <c r="R235" s="66">
        <v>0</v>
      </c>
      <c r="S235" s="66">
        <v>0</v>
      </c>
      <c r="T235" s="66">
        <v>0</v>
      </c>
      <c r="U235" s="66">
        <v>0</v>
      </c>
      <c r="V235" s="66">
        <v>0</v>
      </c>
      <c r="W235" s="66">
        <v>0</v>
      </c>
      <c r="X235" s="66">
        <v>0</v>
      </c>
      <c r="Y235" s="66">
        <v>0</v>
      </c>
      <c r="Z235" s="34"/>
      <c r="AA235" s="66">
        <v>0</v>
      </c>
      <c r="AB235" s="60">
        <v>0</v>
      </c>
      <c r="AC235" s="34"/>
      <c r="AD235" s="66">
        <v>0</v>
      </c>
      <c r="AE235" s="60">
        <v>0</v>
      </c>
    </row>
    <row r="236" spans="1:39" ht="18" hidden="1" customHeight="1" outlineLevel="1" x14ac:dyDescent="0.2">
      <c r="A236" s="30" t="s">
        <v>162</v>
      </c>
      <c r="B236" s="30" t="s">
        <v>22</v>
      </c>
      <c r="C236" s="4">
        <v>-0.15151515151515152</v>
      </c>
      <c r="D236" s="4">
        <v>-20.000000000000053</v>
      </c>
      <c r="F236" s="38" t="s">
        <v>163</v>
      </c>
      <c r="G236" s="34"/>
      <c r="H236" s="66">
        <v>-1.159</v>
      </c>
      <c r="I236" s="66">
        <v>-0.754</v>
      </c>
      <c r="J236" s="66">
        <v>-0.754</v>
      </c>
      <c r="K236" s="86">
        <v>-0.66</v>
      </c>
      <c r="L236" s="86">
        <v>3.9999999999999897E-2</v>
      </c>
      <c r="M236" s="66">
        <v>0</v>
      </c>
      <c r="N236" s="66">
        <v>0</v>
      </c>
      <c r="O236" s="66">
        <v>0</v>
      </c>
      <c r="P236" s="66">
        <v>0</v>
      </c>
      <c r="Q236" s="66">
        <v>0</v>
      </c>
      <c r="R236" s="66">
        <v>0</v>
      </c>
      <c r="S236" s="66">
        <v>0</v>
      </c>
      <c r="T236" s="66">
        <v>0</v>
      </c>
      <c r="U236" s="66">
        <v>0</v>
      </c>
      <c r="V236" s="66">
        <v>0</v>
      </c>
      <c r="W236" s="66">
        <v>0</v>
      </c>
      <c r="X236" s="66">
        <v>-0.75800000000000001</v>
      </c>
      <c r="Y236" s="66">
        <v>-0.75800000000000001</v>
      </c>
      <c r="Z236" s="34"/>
      <c r="AA236" s="66">
        <v>-0.66</v>
      </c>
      <c r="AB236" s="60">
        <v>-0.1</v>
      </c>
      <c r="AC236" s="34"/>
      <c r="AD236" s="66">
        <v>3.9999999999999897E-2</v>
      </c>
      <c r="AE236" s="60">
        <v>-0.8</v>
      </c>
    </row>
    <row r="237" spans="1:39" ht="18" hidden="1" customHeight="1" outlineLevel="1" x14ac:dyDescent="0.2">
      <c r="A237" s="30" t="s">
        <v>164</v>
      </c>
      <c r="B237" s="30" t="s">
        <v>22</v>
      </c>
      <c r="C237" s="4">
        <v>0</v>
      </c>
      <c r="D237" s="4">
        <v>0</v>
      </c>
      <c r="F237" s="38" t="s">
        <v>165</v>
      </c>
      <c r="G237" s="34"/>
      <c r="H237" s="66">
        <v>0</v>
      </c>
      <c r="I237" s="66">
        <v>0</v>
      </c>
      <c r="J237" s="66">
        <v>0</v>
      </c>
      <c r="K237" s="86">
        <v>0</v>
      </c>
      <c r="L237" s="8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0</v>
      </c>
      <c r="R237" s="66">
        <v>0</v>
      </c>
      <c r="S237" s="66">
        <v>0</v>
      </c>
      <c r="T237" s="66">
        <v>0</v>
      </c>
      <c r="U237" s="66">
        <v>0</v>
      </c>
      <c r="V237" s="66">
        <v>0</v>
      </c>
      <c r="W237" s="66">
        <v>0</v>
      </c>
      <c r="X237" s="66">
        <v>0</v>
      </c>
      <c r="Y237" s="66">
        <v>0</v>
      </c>
      <c r="Z237" s="34"/>
      <c r="AA237" s="66">
        <v>0</v>
      </c>
      <c r="AB237" s="60">
        <v>0</v>
      </c>
      <c r="AC237" s="34"/>
      <c r="AD237" s="66">
        <v>0</v>
      </c>
      <c r="AE237" s="60">
        <v>0</v>
      </c>
    </row>
    <row r="238" spans="1:39" ht="18" hidden="1" customHeight="1" outlineLevel="1" x14ac:dyDescent="0.2">
      <c r="A238" s="30" t="s">
        <v>166</v>
      </c>
      <c r="B238" s="30" t="s">
        <v>22</v>
      </c>
      <c r="C238" s="4">
        <v>0</v>
      </c>
      <c r="D238" s="4">
        <v>0</v>
      </c>
      <c r="F238" s="38" t="s">
        <v>167</v>
      </c>
      <c r="G238" s="34"/>
      <c r="H238" s="66">
        <v>0</v>
      </c>
      <c r="I238" s="66">
        <v>0</v>
      </c>
      <c r="J238" s="66">
        <v>0</v>
      </c>
      <c r="K238" s="86">
        <v>0</v>
      </c>
      <c r="L238" s="86">
        <v>0</v>
      </c>
      <c r="M238" s="66">
        <v>0</v>
      </c>
      <c r="N238" s="66">
        <v>0</v>
      </c>
      <c r="O238" s="66">
        <v>0</v>
      </c>
      <c r="P238" s="66">
        <v>0</v>
      </c>
      <c r="Q238" s="66">
        <v>0</v>
      </c>
      <c r="R238" s="66">
        <v>0</v>
      </c>
      <c r="S238" s="66">
        <v>0</v>
      </c>
      <c r="T238" s="66">
        <v>0</v>
      </c>
      <c r="U238" s="66">
        <v>0</v>
      </c>
      <c r="V238" s="66">
        <v>0</v>
      </c>
      <c r="W238" s="66">
        <v>0</v>
      </c>
      <c r="X238" s="66">
        <v>0</v>
      </c>
      <c r="Y238" s="66">
        <v>0</v>
      </c>
      <c r="Z238" s="34"/>
      <c r="AA238" s="66">
        <v>0</v>
      </c>
      <c r="AB238" s="60">
        <v>0</v>
      </c>
      <c r="AC238" s="34"/>
      <c r="AD238" s="66">
        <v>0</v>
      </c>
      <c r="AE238" s="60">
        <v>0</v>
      </c>
    </row>
    <row r="239" spans="1:39" ht="18" customHeight="1" collapsed="1" x14ac:dyDescent="0.2">
      <c r="A239" s="35"/>
      <c r="B239" s="35"/>
      <c r="C239" s="4">
        <v>0.47945205479452052</v>
      </c>
      <c r="D239" s="4">
        <v>-20.000000000000053</v>
      </c>
      <c r="F239" s="106" t="s">
        <v>189</v>
      </c>
      <c r="H239" s="61">
        <v>-1.2510000000000001</v>
      </c>
      <c r="I239" s="61">
        <v>-0.84</v>
      </c>
      <c r="J239" s="61">
        <v>-0.84</v>
      </c>
      <c r="K239" s="86">
        <v>-1.46</v>
      </c>
      <c r="L239" s="86">
        <v>3.9999999999999897E-2</v>
      </c>
      <c r="M239" s="61">
        <v>0</v>
      </c>
      <c r="N239" s="61">
        <v>0</v>
      </c>
      <c r="O239" s="61">
        <v>0</v>
      </c>
      <c r="P239" s="61">
        <v>0</v>
      </c>
      <c r="Q239" s="61">
        <v>0</v>
      </c>
      <c r="R239" s="61">
        <v>0</v>
      </c>
      <c r="S239" s="61">
        <v>0</v>
      </c>
      <c r="T239" s="61">
        <v>0</v>
      </c>
      <c r="U239" s="61">
        <v>0</v>
      </c>
      <c r="V239" s="61">
        <v>0</v>
      </c>
      <c r="W239" s="61">
        <v>0</v>
      </c>
      <c r="X239" s="61">
        <v>-0.75800000000000001</v>
      </c>
      <c r="Y239" s="61">
        <v>-0.75800000000000001</v>
      </c>
      <c r="AA239" s="61">
        <v>-1.46</v>
      </c>
      <c r="AB239" s="60">
        <v>0.7</v>
      </c>
      <c r="AD239" s="61">
        <v>3.9999999999999897E-2</v>
      </c>
      <c r="AE239" s="60">
        <v>-0.8</v>
      </c>
    </row>
    <row r="240" spans="1:39" ht="18" customHeight="1" x14ac:dyDescent="0.2">
      <c r="A240" s="35"/>
      <c r="B240" s="35"/>
      <c r="C240" s="4">
        <v>0.43361978253244488</v>
      </c>
      <c r="D240" s="4">
        <v>-0.12339242266249562</v>
      </c>
      <c r="F240" s="95" t="s">
        <v>65</v>
      </c>
      <c r="H240" s="195">
        <v>-19.042999999999999</v>
      </c>
      <c r="I240" s="195">
        <v>-24.664999999999999</v>
      </c>
      <c r="J240" s="64">
        <v>-24.664999999999999</v>
      </c>
      <c r="K240" s="89">
        <v>-22.807999999999996</v>
      </c>
      <c r="L240" s="89">
        <v>-11.508000000000003</v>
      </c>
      <c r="M240" s="64">
        <v>0.43399999999999994</v>
      </c>
      <c r="N240" s="64">
        <v>-1.0929999999999997</v>
      </c>
      <c r="O240" s="64">
        <v>-1.0920000000000001</v>
      </c>
      <c r="P240" s="64">
        <v>-1.2029999999999998</v>
      </c>
      <c r="Q240" s="64">
        <v>-0.93700000000000028</v>
      </c>
      <c r="R240" s="64">
        <v>-1.1389999999999998</v>
      </c>
      <c r="S240" s="64">
        <v>-1.016</v>
      </c>
      <c r="T240" s="64">
        <v>-0.8550000000000002</v>
      </c>
      <c r="U240" s="64">
        <v>-1.3399999999999992</v>
      </c>
      <c r="V240" s="64">
        <v>-1.3730000000000009</v>
      </c>
      <c r="W240" s="64">
        <v>-1.0359999999999996</v>
      </c>
      <c r="X240" s="64">
        <v>-2.2729999999999992</v>
      </c>
      <c r="Y240" s="64">
        <v>-12.923</v>
      </c>
      <c r="AA240" s="64">
        <v>-22.807999999999996</v>
      </c>
      <c r="AB240" s="60">
        <v>9.89</v>
      </c>
      <c r="AD240" s="64">
        <v>-11.508000000000003</v>
      </c>
      <c r="AE240" s="60">
        <v>-1.42</v>
      </c>
    </row>
    <row r="241" spans="1:31" ht="12.95" customHeight="1" x14ac:dyDescent="0.2">
      <c r="A241" s="35"/>
      <c r="B241" s="35"/>
      <c r="C241" s="4"/>
      <c r="D241" s="4"/>
      <c r="F241" s="39" t="s">
        <v>223</v>
      </c>
      <c r="H241" s="56">
        <v>4.1077998151349861E-3</v>
      </c>
      <c r="I241" s="56">
        <v>5.3351635622929288E-3</v>
      </c>
      <c r="J241" s="56">
        <v>5.3351635622929288E-3</v>
      </c>
      <c r="K241" s="109">
        <v>4.6102193735130673E-3</v>
      </c>
      <c r="L241" s="109">
        <v>2.2608490993243193E-3</v>
      </c>
      <c r="M241" s="56">
        <v>-1.1788833204308083E-3</v>
      </c>
      <c r="N241" s="56">
        <v>2.7689041675427683E-3</v>
      </c>
      <c r="O241" s="56">
        <v>2.6441510265456307E-3</v>
      </c>
      <c r="P241" s="56">
        <v>2.8106425928002676E-3</v>
      </c>
      <c r="Q241" s="56">
        <v>2.056673763691039E-3</v>
      </c>
      <c r="R241" s="56">
        <v>2.6371234747979912E-3</v>
      </c>
      <c r="S241" s="56">
        <v>2.398925205951035E-3</v>
      </c>
      <c r="T241" s="56">
        <v>1.8972595140352817E-3</v>
      </c>
      <c r="U241" s="56">
        <v>3.1888969272360328E-3</v>
      </c>
      <c r="V241" s="56">
        <v>3.1061732081814767E-3</v>
      </c>
      <c r="W241" s="56">
        <v>2.2605724310536331E-3</v>
      </c>
      <c r="X241" s="56">
        <v>4.8988969399674977E-3</v>
      </c>
      <c r="Y241" s="56">
        <v>2.5092882304809301E-3</v>
      </c>
      <c r="AA241" s="56">
        <v>4.6102193735130673E-3</v>
      </c>
      <c r="AB241" s="57"/>
      <c r="AD241" s="56">
        <v>2.2608490993243193E-3</v>
      </c>
      <c r="AE241" s="57"/>
    </row>
    <row r="242" spans="1:31" ht="6.95" customHeight="1" x14ac:dyDescent="0.2">
      <c r="C242" s="4"/>
      <c r="D242" s="4"/>
      <c r="F242" s="96"/>
      <c r="H242" s="16"/>
      <c r="I242" s="16"/>
      <c r="J242" s="16"/>
      <c r="K242" s="85"/>
      <c r="L242" s="85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AA242" s="16"/>
      <c r="AB242" s="20"/>
      <c r="AD242" s="16"/>
      <c r="AE242" s="20"/>
    </row>
    <row r="243" spans="1:31" ht="18" hidden="1" customHeight="1" outlineLevel="1" collapsed="1" x14ac:dyDescent="0.2">
      <c r="A243" s="35"/>
      <c r="B243" s="35"/>
      <c r="C243" s="4"/>
      <c r="D243" s="4"/>
      <c r="F243" s="97" t="s">
        <v>249</v>
      </c>
      <c r="H243" s="74">
        <v>0.1472285714285714</v>
      </c>
      <c r="I243" s="74">
        <v>0.14291428571428572</v>
      </c>
      <c r="J243" s="74">
        <v>0.14291428571428572</v>
      </c>
      <c r="K243" s="112">
        <v>0.18571428571428572</v>
      </c>
      <c r="L243" s="112">
        <v>0.65714285714285714</v>
      </c>
      <c r="M243" s="74">
        <v>0.33017142857142856</v>
      </c>
      <c r="N243" s="74">
        <v>8.8457142857142901E-2</v>
      </c>
      <c r="O243" s="74">
        <v>6.6514285714285692E-2</v>
      </c>
      <c r="P243" s="74">
        <v>7.1314285714285705E-2</v>
      </c>
      <c r="Q243" s="74">
        <v>0.1357714285714286</v>
      </c>
      <c r="R243" s="74">
        <v>0.50571428571428578</v>
      </c>
      <c r="S243" s="74">
        <v>0.4649142857142855</v>
      </c>
      <c r="T243" s="74">
        <v>1.3371428571428572</v>
      </c>
      <c r="U243" s="74">
        <v>1.7153142857142858</v>
      </c>
      <c r="V243" s="74">
        <v>1.0059428571428575</v>
      </c>
      <c r="W243" s="74">
        <v>0.29177142857142824</v>
      </c>
      <c r="X243" s="74">
        <v>0.11862857142857144</v>
      </c>
      <c r="Y243" s="74">
        <v>0.51097142857142863</v>
      </c>
      <c r="AA243" s="74">
        <v>0.18571428571428572</v>
      </c>
      <c r="AB243" s="73">
        <v>0.33</v>
      </c>
      <c r="AD243" s="74">
        <v>0.65714285714285714</v>
      </c>
      <c r="AE243" s="73">
        <v>-0.15</v>
      </c>
    </row>
    <row r="244" spans="1:31" ht="18" hidden="1" customHeight="1" outlineLevel="1" x14ac:dyDescent="0.2">
      <c r="A244" s="30" t="s">
        <v>79</v>
      </c>
      <c r="B244" s="30" t="s">
        <v>22</v>
      </c>
      <c r="C244" s="4">
        <v>-1.7507692307692309</v>
      </c>
      <c r="D244" s="4">
        <v>0.22260869565217392</v>
      </c>
      <c r="F244" s="106" t="s">
        <v>83</v>
      </c>
      <c r="H244" s="61">
        <v>-5.1529999999999996</v>
      </c>
      <c r="I244" s="61">
        <v>-5.0019999999999998</v>
      </c>
      <c r="J244" s="61">
        <v>-5.0019999999999998</v>
      </c>
      <c r="K244" s="86">
        <v>-6.5</v>
      </c>
      <c r="L244" s="86">
        <v>-23</v>
      </c>
      <c r="M244" s="61">
        <v>-0.96299999999999997</v>
      </c>
      <c r="N244" s="61">
        <v>-0.25800000000000012</v>
      </c>
      <c r="O244" s="61">
        <v>-0.19399999999999995</v>
      </c>
      <c r="P244" s="61">
        <v>-0.20799999999999996</v>
      </c>
      <c r="Q244" s="61">
        <v>-0.39600000000000013</v>
      </c>
      <c r="R244" s="61">
        <v>-1.4750000000000001</v>
      </c>
      <c r="S244" s="61">
        <v>-1.3559999999999994</v>
      </c>
      <c r="T244" s="61">
        <v>-3.9000000000000004</v>
      </c>
      <c r="U244" s="61">
        <v>-5.0030000000000001</v>
      </c>
      <c r="V244" s="61">
        <v>-2.9340000000000011</v>
      </c>
      <c r="W244" s="61">
        <v>-0.85099999999999909</v>
      </c>
      <c r="X244" s="61">
        <v>-0.34600000000000009</v>
      </c>
      <c r="Y244" s="61">
        <v>-17.884</v>
      </c>
      <c r="AA244" s="61">
        <v>-6.5</v>
      </c>
      <c r="AB244" s="60">
        <v>-11.38</v>
      </c>
      <c r="AD244" s="61">
        <v>-23</v>
      </c>
      <c r="AE244" s="60">
        <v>5.12</v>
      </c>
    </row>
    <row r="245" spans="1:31" ht="18" hidden="1" customHeight="1" outlineLevel="1" x14ac:dyDescent="0.2">
      <c r="A245" s="30" t="s">
        <v>80</v>
      </c>
      <c r="B245" s="30" t="s">
        <v>22</v>
      </c>
      <c r="C245" s="4">
        <v>0</v>
      </c>
      <c r="D245" s="4">
        <v>0</v>
      </c>
      <c r="F245" s="106" t="s">
        <v>84</v>
      </c>
      <c r="H245" s="61">
        <v>0</v>
      </c>
      <c r="I245" s="61">
        <v>0</v>
      </c>
      <c r="J245" s="61">
        <v>0</v>
      </c>
      <c r="K245" s="86">
        <v>0</v>
      </c>
      <c r="L245" s="86">
        <v>0</v>
      </c>
      <c r="M245" s="61">
        <v>0</v>
      </c>
      <c r="N245" s="61">
        <v>0</v>
      </c>
      <c r="O245" s="61">
        <v>0</v>
      </c>
      <c r="P245" s="61">
        <v>0</v>
      </c>
      <c r="Q245" s="61">
        <v>0</v>
      </c>
      <c r="R245" s="61">
        <v>0</v>
      </c>
      <c r="S245" s="61">
        <v>0</v>
      </c>
      <c r="T245" s="61">
        <v>0</v>
      </c>
      <c r="U245" s="61">
        <v>0</v>
      </c>
      <c r="V245" s="61">
        <v>0</v>
      </c>
      <c r="W245" s="61">
        <v>0</v>
      </c>
      <c r="X245" s="61">
        <v>0</v>
      </c>
      <c r="Y245" s="61">
        <v>0</v>
      </c>
      <c r="AA245" s="61">
        <v>0</v>
      </c>
      <c r="AB245" s="60">
        <v>0</v>
      </c>
      <c r="AD245" s="61">
        <v>0</v>
      </c>
      <c r="AE245" s="60">
        <v>0</v>
      </c>
    </row>
    <row r="246" spans="1:31" ht="18" hidden="1" customHeight="1" outlineLevel="1" x14ac:dyDescent="0.2">
      <c r="A246" s="30" t="s">
        <v>81</v>
      </c>
      <c r="B246" s="30" t="s">
        <v>22</v>
      </c>
      <c r="C246" s="4">
        <v>0</v>
      </c>
      <c r="D246" s="4">
        <v>0</v>
      </c>
      <c r="F246" s="106" t="s">
        <v>85</v>
      </c>
      <c r="H246" s="61">
        <v>0</v>
      </c>
      <c r="I246" s="61">
        <v>0</v>
      </c>
      <c r="J246" s="61">
        <v>0</v>
      </c>
      <c r="K246" s="86">
        <v>0</v>
      </c>
      <c r="L246" s="86">
        <v>0</v>
      </c>
      <c r="M246" s="61">
        <v>0</v>
      </c>
      <c r="N246" s="61">
        <v>0</v>
      </c>
      <c r="O246" s="61">
        <v>0</v>
      </c>
      <c r="P246" s="61">
        <v>0</v>
      </c>
      <c r="Q246" s="61">
        <v>0</v>
      </c>
      <c r="R246" s="61">
        <v>0</v>
      </c>
      <c r="S246" s="61">
        <v>0</v>
      </c>
      <c r="T246" s="61">
        <v>0</v>
      </c>
      <c r="U246" s="61">
        <v>0</v>
      </c>
      <c r="V246" s="61">
        <v>0</v>
      </c>
      <c r="W246" s="61">
        <v>0</v>
      </c>
      <c r="X246" s="61">
        <v>0</v>
      </c>
      <c r="Y246" s="61">
        <v>0</v>
      </c>
      <c r="AA246" s="61">
        <v>0</v>
      </c>
      <c r="AB246" s="60">
        <v>0</v>
      </c>
      <c r="AD246" s="61">
        <v>0</v>
      </c>
      <c r="AE246" s="60">
        <v>0</v>
      </c>
    </row>
    <row r="247" spans="1:31" ht="18" hidden="1" customHeight="1" outlineLevel="1" x14ac:dyDescent="0.2">
      <c r="A247" s="30" t="s">
        <v>140</v>
      </c>
      <c r="B247" s="30" t="s">
        <v>22</v>
      </c>
      <c r="C247" s="4">
        <v>0</v>
      </c>
      <c r="D247" s="4">
        <v>0</v>
      </c>
      <c r="F247" s="106" t="s">
        <v>141</v>
      </c>
      <c r="H247" s="61">
        <v>0</v>
      </c>
      <c r="I247" s="61">
        <v>0</v>
      </c>
      <c r="J247" s="61">
        <v>0</v>
      </c>
      <c r="K247" s="86">
        <v>0</v>
      </c>
      <c r="L247" s="86">
        <v>0</v>
      </c>
      <c r="M247" s="61">
        <v>0</v>
      </c>
      <c r="N247" s="61">
        <v>0</v>
      </c>
      <c r="O247" s="61">
        <v>0</v>
      </c>
      <c r="P247" s="61">
        <v>0</v>
      </c>
      <c r="Q247" s="61">
        <v>0</v>
      </c>
      <c r="R247" s="61">
        <v>0</v>
      </c>
      <c r="S247" s="61">
        <v>0</v>
      </c>
      <c r="T247" s="61">
        <v>0</v>
      </c>
      <c r="U247" s="61">
        <v>0</v>
      </c>
      <c r="V247" s="61">
        <v>0</v>
      </c>
      <c r="W247" s="61">
        <v>0</v>
      </c>
      <c r="X247" s="61">
        <v>0</v>
      </c>
      <c r="Y247" s="61">
        <v>0</v>
      </c>
      <c r="AA247" s="61">
        <v>0</v>
      </c>
      <c r="AB247" s="60">
        <v>0</v>
      </c>
      <c r="AD247" s="61">
        <v>0</v>
      </c>
      <c r="AE247" s="60">
        <v>0</v>
      </c>
    </row>
    <row r="248" spans="1:31" ht="18" hidden="1" customHeight="1" outlineLevel="1" x14ac:dyDescent="0.2">
      <c r="A248" s="30" t="s">
        <v>123</v>
      </c>
      <c r="B248" s="30" t="s">
        <v>22</v>
      </c>
      <c r="C248" s="4">
        <v>0</v>
      </c>
      <c r="D248" s="4">
        <v>0</v>
      </c>
      <c r="F248" s="106" t="s">
        <v>142</v>
      </c>
      <c r="H248" s="61">
        <v>0</v>
      </c>
      <c r="I248" s="61">
        <v>0</v>
      </c>
      <c r="J248" s="61">
        <v>0</v>
      </c>
      <c r="K248" s="86">
        <v>0</v>
      </c>
      <c r="L248" s="86">
        <v>0</v>
      </c>
      <c r="M248" s="61">
        <v>0</v>
      </c>
      <c r="N248" s="61">
        <v>0</v>
      </c>
      <c r="O248" s="61">
        <v>0</v>
      </c>
      <c r="P248" s="61">
        <v>0</v>
      </c>
      <c r="Q248" s="61">
        <v>0</v>
      </c>
      <c r="R248" s="61">
        <v>0</v>
      </c>
      <c r="S248" s="61">
        <v>0</v>
      </c>
      <c r="T248" s="61">
        <v>0</v>
      </c>
      <c r="U248" s="61">
        <v>0</v>
      </c>
      <c r="V248" s="61">
        <v>0</v>
      </c>
      <c r="W248" s="61">
        <v>0</v>
      </c>
      <c r="X248" s="61">
        <v>0</v>
      </c>
      <c r="Y248" s="61">
        <v>0</v>
      </c>
      <c r="AA248" s="61">
        <v>0</v>
      </c>
      <c r="AB248" s="60">
        <v>0</v>
      </c>
      <c r="AD248" s="61">
        <v>0</v>
      </c>
      <c r="AE248" s="60">
        <v>0</v>
      </c>
    </row>
    <row r="249" spans="1:31" ht="18" hidden="1" customHeight="1" outlineLevel="1" x14ac:dyDescent="0.2">
      <c r="A249" s="30" t="s">
        <v>124</v>
      </c>
      <c r="B249" s="30" t="s">
        <v>22</v>
      </c>
      <c r="C249" s="4">
        <v>0</v>
      </c>
      <c r="D249" s="4">
        <v>0</v>
      </c>
      <c r="F249" s="106" t="s">
        <v>143</v>
      </c>
      <c r="H249" s="61">
        <v>0</v>
      </c>
      <c r="I249" s="61">
        <v>0</v>
      </c>
      <c r="J249" s="61">
        <v>0</v>
      </c>
      <c r="K249" s="86">
        <v>0</v>
      </c>
      <c r="L249" s="86">
        <v>0</v>
      </c>
      <c r="M249" s="61">
        <v>0</v>
      </c>
      <c r="N249" s="61">
        <v>0</v>
      </c>
      <c r="O249" s="61">
        <v>0</v>
      </c>
      <c r="P249" s="61">
        <v>0</v>
      </c>
      <c r="Q249" s="61">
        <v>0</v>
      </c>
      <c r="R249" s="61">
        <v>0</v>
      </c>
      <c r="S249" s="61">
        <v>0</v>
      </c>
      <c r="T249" s="61">
        <v>0</v>
      </c>
      <c r="U249" s="61">
        <v>0</v>
      </c>
      <c r="V249" s="61">
        <v>0</v>
      </c>
      <c r="W249" s="61">
        <v>0</v>
      </c>
      <c r="X249" s="61">
        <v>0</v>
      </c>
      <c r="Y249" s="61">
        <v>0</v>
      </c>
      <c r="AA249" s="61">
        <v>0</v>
      </c>
      <c r="AB249" s="60">
        <v>0</v>
      </c>
      <c r="AD249" s="61">
        <v>0</v>
      </c>
      <c r="AE249" s="60">
        <v>0</v>
      </c>
    </row>
    <row r="250" spans="1:31" ht="18" hidden="1" customHeight="1" outlineLevel="1" x14ac:dyDescent="0.2">
      <c r="A250" s="30" t="s">
        <v>204</v>
      </c>
      <c r="B250" s="30" t="s">
        <v>22</v>
      </c>
      <c r="C250" s="4">
        <v>0</v>
      </c>
      <c r="D250" s="4">
        <v>0</v>
      </c>
      <c r="F250" s="104" t="s">
        <v>139</v>
      </c>
      <c r="G250" s="36"/>
      <c r="H250" s="65">
        <v>1.5049999999999999</v>
      </c>
      <c r="I250" s="65">
        <v>0</v>
      </c>
      <c r="J250" s="65">
        <v>0</v>
      </c>
      <c r="K250" s="90">
        <v>0</v>
      </c>
      <c r="L250" s="90">
        <v>0</v>
      </c>
      <c r="M250" s="65">
        <v>0</v>
      </c>
      <c r="N250" s="65">
        <v>0</v>
      </c>
      <c r="O250" s="65">
        <v>0</v>
      </c>
      <c r="P250" s="65">
        <v>0</v>
      </c>
      <c r="Q250" s="65">
        <v>0</v>
      </c>
      <c r="R250" s="65">
        <v>0</v>
      </c>
      <c r="S250" s="65">
        <v>0</v>
      </c>
      <c r="T250" s="65">
        <v>0</v>
      </c>
      <c r="U250" s="65">
        <v>0</v>
      </c>
      <c r="V250" s="65">
        <v>0</v>
      </c>
      <c r="W250" s="65">
        <v>0</v>
      </c>
      <c r="X250" s="65">
        <v>0</v>
      </c>
      <c r="Y250" s="65">
        <v>0</v>
      </c>
      <c r="Z250" s="36"/>
      <c r="AA250" s="65">
        <v>0</v>
      </c>
      <c r="AB250" s="60">
        <v>0</v>
      </c>
      <c r="AC250" s="36"/>
      <c r="AD250" s="65">
        <v>0</v>
      </c>
      <c r="AE250" s="60">
        <v>0</v>
      </c>
    </row>
    <row r="251" spans="1:31" ht="18" hidden="1" customHeight="1" outlineLevel="1" x14ac:dyDescent="0.2">
      <c r="A251" s="30" t="s">
        <v>82</v>
      </c>
      <c r="B251" s="30" t="s">
        <v>22</v>
      </c>
      <c r="C251" s="4">
        <v>-0.9992313604919294</v>
      </c>
      <c r="D251" s="4">
        <v>0</v>
      </c>
      <c r="F251" s="106" t="s">
        <v>86</v>
      </c>
      <c r="H251" s="61">
        <v>-0.437</v>
      </c>
      <c r="I251" s="61">
        <v>1.3009999999999999</v>
      </c>
      <c r="J251" s="61">
        <v>1.3009999999999999</v>
      </c>
      <c r="K251" s="86">
        <v>0</v>
      </c>
      <c r="L251" s="86">
        <v>-1.3</v>
      </c>
      <c r="M251" s="61">
        <v>-0.20799999999999999</v>
      </c>
      <c r="N251" s="61">
        <v>-0.14399999999999999</v>
      </c>
      <c r="O251" s="61">
        <v>-0.94899999999999995</v>
      </c>
      <c r="P251" s="61">
        <v>0</v>
      </c>
      <c r="Q251" s="61">
        <v>0</v>
      </c>
      <c r="R251" s="61">
        <v>0</v>
      </c>
      <c r="S251" s="61">
        <v>0</v>
      </c>
      <c r="T251" s="61">
        <v>0</v>
      </c>
      <c r="U251" s="61">
        <v>0</v>
      </c>
      <c r="V251" s="61">
        <v>0</v>
      </c>
      <c r="W251" s="61">
        <v>0</v>
      </c>
      <c r="X251" s="61">
        <v>0</v>
      </c>
      <c r="Y251" s="61">
        <v>-1.3009999999999999</v>
      </c>
      <c r="AA251" s="61">
        <v>0</v>
      </c>
      <c r="AB251" s="60">
        <v>-1.3</v>
      </c>
      <c r="AD251" s="61">
        <v>-1.3</v>
      </c>
      <c r="AE251" s="60">
        <v>0</v>
      </c>
    </row>
    <row r="252" spans="1:31" ht="18" hidden="1" customHeight="1" outlineLevel="1" x14ac:dyDescent="0.2">
      <c r="A252" s="30" t="s">
        <v>144</v>
      </c>
      <c r="B252" s="30" t="s">
        <v>22</v>
      </c>
      <c r="C252" s="4">
        <v>0</v>
      </c>
      <c r="D252" s="4">
        <v>0</v>
      </c>
      <c r="F252" s="106" t="s">
        <v>145</v>
      </c>
      <c r="H252" s="61">
        <v>0</v>
      </c>
      <c r="I252" s="61">
        <v>0</v>
      </c>
      <c r="J252" s="61">
        <v>0</v>
      </c>
      <c r="K252" s="86">
        <v>0</v>
      </c>
      <c r="L252" s="86">
        <v>0</v>
      </c>
      <c r="M252" s="61">
        <v>0</v>
      </c>
      <c r="N252" s="61">
        <v>0</v>
      </c>
      <c r="O252" s="61">
        <v>0</v>
      </c>
      <c r="P252" s="61">
        <v>0</v>
      </c>
      <c r="Q252" s="61">
        <v>0</v>
      </c>
      <c r="R252" s="61">
        <v>0</v>
      </c>
      <c r="S252" s="61">
        <v>0</v>
      </c>
      <c r="T252" s="61">
        <v>0</v>
      </c>
      <c r="U252" s="61">
        <v>0</v>
      </c>
      <c r="V252" s="61">
        <v>0</v>
      </c>
      <c r="W252" s="61">
        <v>0</v>
      </c>
      <c r="X252" s="61">
        <v>0</v>
      </c>
      <c r="Y252" s="61">
        <v>0</v>
      </c>
      <c r="AA252" s="61">
        <v>0</v>
      </c>
      <c r="AB252" s="60">
        <v>0</v>
      </c>
      <c r="AD252" s="61">
        <v>0</v>
      </c>
      <c r="AE252" s="60">
        <v>0</v>
      </c>
    </row>
    <row r="253" spans="1:31" ht="18" customHeight="1" collapsed="1" x14ac:dyDescent="0.2">
      <c r="A253" s="35"/>
      <c r="B253" s="35"/>
      <c r="C253" s="4">
        <v>-1.9523076923076923</v>
      </c>
      <c r="D253" s="4">
        <v>0.21069958847736625</v>
      </c>
      <c r="F253" s="95" t="s">
        <v>276</v>
      </c>
      <c r="H253" s="64">
        <v>-4.085</v>
      </c>
      <c r="I253" s="64">
        <v>-3.7009999999999996</v>
      </c>
      <c r="J253" s="64">
        <v>-3.7009999999999996</v>
      </c>
      <c r="K253" s="89">
        <v>-6.5</v>
      </c>
      <c r="L253" s="89">
        <v>-24.3</v>
      </c>
      <c r="M253" s="64">
        <v>-1.171</v>
      </c>
      <c r="N253" s="64">
        <v>-0.40200000000000014</v>
      </c>
      <c r="O253" s="64">
        <v>-1.1429999999999998</v>
      </c>
      <c r="P253" s="64">
        <v>-0.20799999999999996</v>
      </c>
      <c r="Q253" s="64">
        <v>-0.39600000000000013</v>
      </c>
      <c r="R253" s="64">
        <v>-1.4750000000000001</v>
      </c>
      <c r="S253" s="64">
        <v>-1.3559999999999994</v>
      </c>
      <c r="T253" s="64">
        <v>-3.9000000000000004</v>
      </c>
      <c r="U253" s="64">
        <v>-5.0030000000000001</v>
      </c>
      <c r="V253" s="64">
        <v>-2.9340000000000011</v>
      </c>
      <c r="W253" s="64">
        <v>-0.85099999999999909</v>
      </c>
      <c r="X253" s="64">
        <v>-0.34600000000000009</v>
      </c>
      <c r="Y253" s="64">
        <v>-19.184999999999999</v>
      </c>
      <c r="AA253" s="64">
        <v>-6.5</v>
      </c>
      <c r="AB253" s="60">
        <v>-12.69</v>
      </c>
      <c r="AD253" s="64">
        <v>-24.3</v>
      </c>
      <c r="AE253" s="60">
        <v>5.12</v>
      </c>
    </row>
    <row r="254" spans="1:31" ht="12.95" customHeight="1" x14ac:dyDescent="0.2">
      <c r="A254" s="35"/>
      <c r="B254" s="35"/>
      <c r="C254" s="4"/>
      <c r="D254" s="4"/>
      <c r="F254" s="39" t="s">
        <v>223</v>
      </c>
      <c r="H254" s="56">
        <v>8.8118270465926691E-4</v>
      </c>
      <c r="I254" s="56">
        <v>8.0054491563130465E-4</v>
      </c>
      <c r="J254" s="56">
        <v>8.0054491563130465E-4</v>
      </c>
      <c r="K254" s="109">
        <v>1.3138559245806272E-3</v>
      </c>
      <c r="L254" s="109">
        <v>4.7739514349653235E-3</v>
      </c>
      <c r="M254" s="56">
        <v>3.1808119083513286E-3</v>
      </c>
      <c r="N254" s="56">
        <v>1.0183892729663253E-3</v>
      </c>
      <c r="O254" s="56">
        <v>2.7676415964667171E-3</v>
      </c>
      <c r="P254" s="56">
        <v>4.8596314156480101E-4</v>
      </c>
      <c r="Q254" s="56">
        <v>8.6920257248842203E-4</v>
      </c>
      <c r="R254" s="56">
        <v>3.4150633233775572E-3</v>
      </c>
      <c r="S254" s="56">
        <v>3.2017151370763801E-3</v>
      </c>
      <c r="T254" s="56">
        <v>8.6541662043714586E-3</v>
      </c>
      <c r="U254" s="56">
        <v>1.190600845295663E-2</v>
      </c>
      <c r="V254" s="56">
        <v>6.6376636509864889E-3</v>
      </c>
      <c r="W254" s="56">
        <v>1.8568987826511972E-3</v>
      </c>
      <c r="X254" s="56">
        <v>7.45718583910583E-4</v>
      </c>
      <c r="Y254" s="56">
        <v>3.7251949780837761E-3</v>
      </c>
      <c r="AA254" s="56">
        <v>1.3138559245806272E-3</v>
      </c>
      <c r="AB254" s="57"/>
      <c r="AD254" s="56">
        <v>4.7739514349653235E-3</v>
      </c>
      <c r="AE254" s="57"/>
    </row>
    <row r="255" spans="1:31" ht="6.95" customHeight="1" x14ac:dyDescent="0.2">
      <c r="C255" s="4"/>
      <c r="D255" s="4"/>
      <c r="F255" s="96"/>
      <c r="H255" s="53"/>
      <c r="I255" s="53"/>
      <c r="J255" s="53"/>
      <c r="K255" s="115"/>
      <c r="L255" s="115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AA255" s="53"/>
      <c r="AD255" s="53"/>
    </row>
    <row r="256" spans="1:31" ht="18" customHeight="1" x14ac:dyDescent="0.2">
      <c r="A256" s="30" t="s">
        <v>73</v>
      </c>
      <c r="B256" s="30" t="s">
        <v>22</v>
      </c>
      <c r="C256" s="4">
        <v>0.63800000000000001</v>
      </c>
      <c r="D256" s="4">
        <v>0.54749999999999999</v>
      </c>
      <c r="F256" s="106" t="s">
        <v>72</v>
      </c>
      <c r="H256" s="61">
        <v>-3.0819999999999999</v>
      </c>
      <c r="I256" s="61">
        <v>-3.44</v>
      </c>
      <c r="J256" s="61">
        <v>-3.44</v>
      </c>
      <c r="K256" s="86">
        <v>-5</v>
      </c>
      <c r="L256" s="86">
        <v>-4</v>
      </c>
      <c r="M256" s="61">
        <v>-0.32800000000000001</v>
      </c>
      <c r="N256" s="61">
        <v>-0.746</v>
      </c>
      <c r="O256" s="61">
        <v>9.3000000000000083E-2</v>
      </c>
      <c r="P256" s="61">
        <v>-0.18400000000000005</v>
      </c>
      <c r="Q256" s="61">
        <v>-0.17700000000000005</v>
      </c>
      <c r="R256" s="61">
        <v>-0.14300000000000002</v>
      </c>
      <c r="S256" s="61">
        <v>5.4000000000000048E-2</v>
      </c>
      <c r="T256" s="61">
        <v>-5.699999999999994E-2</v>
      </c>
      <c r="U256" s="61">
        <v>-6.800000000000006E-2</v>
      </c>
      <c r="V256" s="61">
        <v>-7.8999999999999959E-2</v>
      </c>
      <c r="W256" s="61">
        <v>-9.000000000000008E-2</v>
      </c>
      <c r="X256" s="61">
        <v>-8.0999999999999961E-2</v>
      </c>
      <c r="Y256" s="61">
        <v>-1.806</v>
      </c>
      <c r="AA256" s="61">
        <v>-5</v>
      </c>
      <c r="AB256" s="60">
        <v>3.19</v>
      </c>
      <c r="AD256" s="61">
        <v>-4</v>
      </c>
      <c r="AE256" s="60">
        <v>2.19</v>
      </c>
    </row>
    <row r="257" spans="1:31" ht="18" customHeight="1" x14ac:dyDescent="0.2">
      <c r="A257" s="30" t="s">
        <v>129</v>
      </c>
      <c r="B257" s="30" t="s">
        <v>22</v>
      </c>
      <c r="C257" s="4">
        <v>0.32142857142857145</v>
      </c>
      <c r="D257" s="4">
        <v>0.05</v>
      </c>
      <c r="F257" s="106" t="s">
        <v>190</v>
      </c>
      <c r="H257" s="61">
        <v>-4.0910000000000002</v>
      </c>
      <c r="I257" s="61">
        <v>-5.1340000000000003</v>
      </c>
      <c r="J257" s="61">
        <v>-5.1340000000000003</v>
      </c>
      <c r="K257" s="86">
        <v>-7</v>
      </c>
      <c r="L257" s="86">
        <v>-5</v>
      </c>
      <c r="M257" s="61">
        <v>-0.13300000000000001</v>
      </c>
      <c r="N257" s="61">
        <v>0</v>
      </c>
      <c r="O257" s="61">
        <v>-0.44999999999999996</v>
      </c>
      <c r="P257" s="61">
        <v>-0.76500000000000012</v>
      </c>
      <c r="Q257" s="61">
        <v>-0.19199999999999995</v>
      </c>
      <c r="R257" s="61">
        <v>0</v>
      </c>
      <c r="S257" s="61">
        <v>0</v>
      </c>
      <c r="T257" s="61">
        <v>-0.80100000000000016</v>
      </c>
      <c r="U257" s="61">
        <v>-0.76200000000000001</v>
      </c>
      <c r="V257" s="61">
        <v>-0.58499999999999996</v>
      </c>
      <c r="W257" s="61">
        <v>-0.56000000000000005</v>
      </c>
      <c r="X257" s="61">
        <v>-0.50699999999999967</v>
      </c>
      <c r="Y257" s="61">
        <v>-4.7549999999999999</v>
      </c>
      <c r="AA257" s="61">
        <v>-7</v>
      </c>
      <c r="AB257" s="60">
        <v>2.25</v>
      </c>
      <c r="AD257" s="61">
        <v>-5</v>
      </c>
      <c r="AE257" s="60">
        <v>0.25</v>
      </c>
    </row>
    <row r="258" spans="1:31" ht="18" customHeight="1" x14ac:dyDescent="0.2">
      <c r="A258" s="30" t="s">
        <v>78</v>
      </c>
      <c r="B258" s="30" t="s">
        <v>22</v>
      </c>
      <c r="C258" s="4">
        <v>0.49800000000000005</v>
      </c>
      <c r="D258" s="4">
        <v>0.16333333333333333</v>
      </c>
      <c r="F258" s="106" t="s">
        <v>77</v>
      </c>
      <c r="H258" s="61">
        <v>-2.8</v>
      </c>
      <c r="I258" s="61">
        <v>-2.33</v>
      </c>
      <c r="J258" s="61">
        <v>-2.33</v>
      </c>
      <c r="K258" s="86">
        <v>-5</v>
      </c>
      <c r="L258" s="86">
        <v>-3</v>
      </c>
      <c r="M258" s="61">
        <v>-0.23499999999999999</v>
      </c>
      <c r="N258" s="61">
        <v>-0.16800000000000004</v>
      </c>
      <c r="O258" s="61">
        <v>-0.20099999999999996</v>
      </c>
      <c r="P258" s="61">
        <v>-0.22399999999999998</v>
      </c>
      <c r="Q258" s="61">
        <v>-0.18000000000000005</v>
      </c>
      <c r="R258" s="61">
        <v>-0.17799999999999994</v>
      </c>
      <c r="S258" s="61">
        <v>-0.16800000000000015</v>
      </c>
      <c r="T258" s="61">
        <v>-0.18399999999999994</v>
      </c>
      <c r="U258" s="61">
        <v>-0.371</v>
      </c>
      <c r="V258" s="61">
        <v>-0.19900000000000007</v>
      </c>
      <c r="W258" s="61">
        <v>-0.19899999999999984</v>
      </c>
      <c r="X258" s="61">
        <v>-0.20100000000000007</v>
      </c>
      <c r="Y258" s="61">
        <v>-2.508</v>
      </c>
      <c r="AA258" s="61">
        <v>-5</v>
      </c>
      <c r="AB258" s="60">
        <v>2.4900000000000002</v>
      </c>
      <c r="AD258" s="61">
        <v>-3</v>
      </c>
      <c r="AE258" s="60">
        <v>0.49</v>
      </c>
    </row>
    <row r="259" spans="1:31" ht="18" customHeight="1" x14ac:dyDescent="0.2">
      <c r="A259" s="30" t="s">
        <v>75</v>
      </c>
      <c r="B259" s="30" t="s">
        <v>22</v>
      </c>
      <c r="C259" s="4">
        <v>0.3392857142857143</v>
      </c>
      <c r="D259" s="4">
        <v>-2.7777777777777776E-2</v>
      </c>
      <c r="F259" s="106" t="s">
        <v>76</v>
      </c>
      <c r="H259" s="61">
        <v>-12.053000000000001</v>
      </c>
      <c r="I259" s="61">
        <v>-10.827</v>
      </c>
      <c r="J259" s="61">
        <v>-10.827</v>
      </c>
      <c r="K259" s="86">
        <v>-14</v>
      </c>
      <c r="L259" s="86">
        <v>-9</v>
      </c>
      <c r="M259" s="61">
        <v>-0.94499999999999995</v>
      </c>
      <c r="N259" s="61">
        <v>-0.89700000000000013</v>
      </c>
      <c r="O259" s="61">
        <v>-0.86899999999999977</v>
      </c>
      <c r="P259" s="61">
        <v>-0.90600000000000014</v>
      </c>
      <c r="Q259" s="61">
        <v>-0.91300000000000026</v>
      </c>
      <c r="R259" s="61">
        <v>1.4620000000000002</v>
      </c>
      <c r="S259" s="61">
        <v>-1.69</v>
      </c>
      <c r="T259" s="61">
        <v>-0.88600000000000012</v>
      </c>
      <c r="U259" s="61">
        <v>-0.84999999999999964</v>
      </c>
      <c r="V259" s="61">
        <v>-0.82800000000000029</v>
      </c>
      <c r="W259" s="61">
        <v>-0.91599999999999948</v>
      </c>
      <c r="X259" s="61">
        <v>-1.0140000000000011</v>
      </c>
      <c r="Y259" s="61">
        <v>-9.2520000000000007</v>
      </c>
      <c r="AA259" s="61">
        <v>-14</v>
      </c>
      <c r="AB259" s="60">
        <v>4.75</v>
      </c>
      <c r="AD259" s="61">
        <v>-9</v>
      </c>
      <c r="AE259" s="60">
        <v>-0.25</v>
      </c>
    </row>
    <row r="260" spans="1:31" ht="18" customHeight="1" x14ac:dyDescent="0.2">
      <c r="A260" s="30" t="s">
        <v>181</v>
      </c>
      <c r="B260" s="30" t="s">
        <v>22</v>
      </c>
      <c r="C260" s="4">
        <v>-7.9444444444444443E-2</v>
      </c>
      <c r="D260" s="4">
        <v>5.2901023890784982E-3</v>
      </c>
      <c r="F260" s="106" t="s">
        <v>182</v>
      </c>
      <c r="H260" s="61">
        <v>-52.945999999999998</v>
      </c>
      <c r="I260" s="61">
        <v>-54.915999999999997</v>
      </c>
      <c r="J260" s="61">
        <v>-54.915999999999997</v>
      </c>
      <c r="K260" s="86">
        <v>-54</v>
      </c>
      <c r="L260" s="86">
        <v>-58.6</v>
      </c>
      <c r="M260" s="61">
        <v>-4.8319999999999999</v>
      </c>
      <c r="N260" s="61">
        <v>-4.3649999999999993</v>
      </c>
      <c r="O260" s="61">
        <v>-4.8310000000000013</v>
      </c>
      <c r="P260" s="61">
        <v>-4.6749999999999989</v>
      </c>
      <c r="Q260" s="61">
        <v>-4.6760000000000019</v>
      </c>
      <c r="R260" s="61">
        <v>-4.6759999999999984</v>
      </c>
      <c r="S260" s="61">
        <v>-5.0390000000000015</v>
      </c>
      <c r="T260" s="61">
        <v>-5.0390000000000015</v>
      </c>
      <c r="U260" s="61">
        <v>-5.0389999999999944</v>
      </c>
      <c r="V260" s="61">
        <v>-5.0390000000000015</v>
      </c>
      <c r="W260" s="61">
        <v>-4.9840000000000018</v>
      </c>
      <c r="X260" s="61">
        <v>-5.0940000000000012</v>
      </c>
      <c r="Y260" s="61">
        <v>-58.289000000000001</v>
      </c>
      <c r="AA260" s="61">
        <v>-54</v>
      </c>
      <c r="AB260" s="60">
        <v>-4.29</v>
      </c>
      <c r="AD260" s="61">
        <v>-58.6</v>
      </c>
      <c r="AE260" s="60">
        <v>0.31</v>
      </c>
    </row>
    <row r="261" spans="1:31" ht="18" customHeight="1" x14ac:dyDescent="0.2">
      <c r="A261" s="30" t="s">
        <v>90</v>
      </c>
      <c r="B261" s="30" t="s">
        <v>22</v>
      </c>
      <c r="C261" s="4">
        <v>0.33370370370370367</v>
      </c>
      <c r="D261" s="4">
        <v>-2.8000000000000001E-2</v>
      </c>
      <c r="F261" s="106" t="s">
        <v>95</v>
      </c>
      <c r="H261" s="61">
        <v>-26.119</v>
      </c>
      <c r="I261" s="61">
        <v>-19.588000000000001</v>
      </c>
      <c r="J261" s="61">
        <v>-19.588000000000001</v>
      </c>
      <c r="K261" s="86">
        <v>-27</v>
      </c>
      <c r="L261" s="86">
        <v>-17.5</v>
      </c>
      <c r="M261" s="61">
        <v>-1.4410000000000001</v>
      </c>
      <c r="N261" s="61">
        <v>-1.385</v>
      </c>
      <c r="O261" s="61">
        <v>-1.4709999999999996</v>
      </c>
      <c r="P261" s="61">
        <v>-1.5090000000000003</v>
      </c>
      <c r="Q261" s="61">
        <v>-1.6680000000000001</v>
      </c>
      <c r="R261" s="61">
        <v>-1.379999999999999</v>
      </c>
      <c r="S261" s="61">
        <v>-1.5240000000000009</v>
      </c>
      <c r="T261" s="61">
        <v>-1.0830000000000002</v>
      </c>
      <c r="U261" s="61">
        <v>-1.4879999999999995</v>
      </c>
      <c r="V261" s="61">
        <v>-1.5489999999999995</v>
      </c>
      <c r="W261" s="61">
        <v>-1.5090000000000021</v>
      </c>
      <c r="X261" s="61">
        <v>-1.9839999999999982</v>
      </c>
      <c r="Y261" s="61">
        <v>-17.991</v>
      </c>
      <c r="AA261" s="61">
        <v>-27</v>
      </c>
      <c r="AB261" s="60">
        <v>9.01</v>
      </c>
      <c r="AD261" s="61">
        <v>-17.5</v>
      </c>
      <c r="AE261" s="60">
        <v>-0.49</v>
      </c>
    </row>
    <row r="262" spans="1:31" ht="18" customHeight="1" x14ac:dyDescent="0.2">
      <c r="A262" s="30" t="s">
        <v>91</v>
      </c>
      <c r="B262" s="30" t="s">
        <v>22</v>
      </c>
      <c r="C262" s="4">
        <v>0.12</v>
      </c>
      <c r="D262" s="4">
        <v>0.12</v>
      </c>
      <c r="F262" s="106" t="s">
        <v>96</v>
      </c>
      <c r="H262" s="61">
        <v>-0.45400000000000001</v>
      </c>
      <c r="I262" s="61">
        <v>-0.51600000000000001</v>
      </c>
      <c r="J262" s="61">
        <v>-0.51600000000000001</v>
      </c>
      <c r="K262" s="86">
        <v>-1</v>
      </c>
      <c r="L262" s="86">
        <v>-1</v>
      </c>
      <c r="M262" s="61">
        <v>-2.9000000000000001E-2</v>
      </c>
      <c r="N262" s="61">
        <v>-6.9999999999999958E-3</v>
      </c>
      <c r="O262" s="61">
        <v>-2.2000000000000006E-2</v>
      </c>
      <c r="P262" s="61">
        <v>0</v>
      </c>
      <c r="Q262" s="61">
        <v>0</v>
      </c>
      <c r="R262" s="61">
        <v>-0.18</v>
      </c>
      <c r="S262" s="61">
        <v>0</v>
      </c>
      <c r="T262" s="61">
        <v>0</v>
      </c>
      <c r="U262" s="61">
        <v>0</v>
      </c>
      <c r="V262" s="61">
        <v>-0.17799999999999999</v>
      </c>
      <c r="W262" s="61">
        <v>-0.39799999999999996</v>
      </c>
      <c r="X262" s="61">
        <v>-6.800000000000006E-2</v>
      </c>
      <c r="Y262" s="61">
        <v>-0.88200000000000001</v>
      </c>
      <c r="AA262" s="61">
        <v>-1</v>
      </c>
      <c r="AB262" s="60">
        <v>0.12</v>
      </c>
      <c r="AD262" s="61">
        <v>-1</v>
      </c>
      <c r="AE262" s="60">
        <v>0.12</v>
      </c>
    </row>
    <row r="263" spans="1:31" ht="18" customHeight="1" x14ac:dyDescent="0.2">
      <c r="A263" s="30" t="s">
        <v>74</v>
      </c>
      <c r="B263" s="30" t="s">
        <v>22</v>
      </c>
      <c r="C263" s="4">
        <v>-0.7433333333333334</v>
      </c>
      <c r="D263" s="4">
        <v>-4.5999999999999999E-2</v>
      </c>
      <c r="F263" s="106" t="s">
        <v>97</v>
      </c>
      <c r="H263" s="61">
        <v>-9.4969999999999999</v>
      </c>
      <c r="I263" s="61">
        <v>-14.244</v>
      </c>
      <c r="J263" s="61">
        <v>-14.244</v>
      </c>
      <c r="K263" s="86">
        <v>-9</v>
      </c>
      <c r="L263" s="86">
        <v>-15</v>
      </c>
      <c r="M263" s="61">
        <v>-2.6619999999999999</v>
      </c>
      <c r="N263" s="61">
        <v>-1.1850000000000001</v>
      </c>
      <c r="O263" s="61">
        <v>0.33099999999999996</v>
      </c>
      <c r="P263" s="61">
        <v>-1.0609999999999999</v>
      </c>
      <c r="Q263" s="61">
        <v>-1.8179999999999996</v>
      </c>
      <c r="R263" s="61">
        <v>-0.76600000000000001</v>
      </c>
      <c r="S263" s="61">
        <v>-1.1760000000000002</v>
      </c>
      <c r="T263" s="61">
        <v>-1.0850000000000009</v>
      </c>
      <c r="U263" s="61">
        <v>-1.520999999999999</v>
      </c>
      <c r="V263" s="61">
        <v>-0.88000000000000078</v>
      </c>
      <c r="W263" s="61">
        <v>-1.4689999999999994</v>
      </c>
      <c r="X263" s="61">
        <v>-2.3949999999999996</v>
      </c>
      <c r="Y263" s="61">
        <v>-15.686999999999999</v>
      </c>
      <c r="AA263" s="61">
        <v>-9</v>
      </c>
      <c r="AB263" s="60">
        <v>-6.69</v>
      </c>
      <c r="AD263" s="61">
        <v>-15</v>
      </c>
      <c r="AE263" s="60">
        <v>-0.69</v>
      </c>
    </row>
    <row r="264" spans="1:31" s="253" customFormat="1" ht="18" customHeight="1" x14ac:dyDescent="0.2">
      <c r="A264" s="273" t="s">
        <v>447</v>
      </c>
      <c r="B264" s="254" t="s">
        <v>22</v>
      </c>
      <c r="C264" s="252">
        <v>0</v>
      </c>
      <c r="D264" s="252">
        <v>0</v>
      </c>
      <c r="F264" s="264" t="s">
        <v>446</v>
      </c>
      <c r="H264" s="257">
        <v>0</v>
      </c>
      <c r="I264" s="257">
        <v>0</v>
      </c>
      <c r="J264" s="257">
        <v>0</v>
      </c>
      <c r="K264" s="258">
        <v>0</v>
      </c>
      <c r="L264" s="258">
        <v>0</v>
      </c>
      <c r="M264" s="257">
        <v>0</v>
      </c>
      <c r="N264" s="257">
        <v>0</v>
      </c>
      <c r="O264" s="257">
        <v>0</v>
      </c>
      <c r="P264" s="257">
        <v>0</v>
      </c>
      <c r="Q264" s="257">
        <v>0</v>
      </c>
      <c r="R264" s="257">
        <v>0</v>
      </c>
      <c r="S264" s="257">
        <v>0</v>
      </c>
      <c r="T264" s="257">
        <v>0</v>
      </c>
      <c r="U264" s="257">
        <v>0</v>
      </c>
      <c r="V264" s="257">
        <v>0</v>
      </c>
      <c r="W264" s="257">
        <v>0</v>
      </c>
      <c r="X264" s="257">
        <v>0</v>
      </c>
      <c r="Y264" s="257">
        <v>0</v>
      </c>
      <c r="AA264" s="257">
        <v>0</v>
      </c>
      <c r="AB264" s="256">
        <v>0</v>
      </c>
      <c r="AD264" s="257">
        <v>0</v>
      </c>
      <c r="AE264" s="256">
        <v>0</v>
      </c>
    </row>
    <row r="265" spans="1:31" ht="18" customHeight="1" x14ac:dyDescent="0.2">
      <c r="A265" s="30" t="s">
        <v>197</v>
      </c>
      <c r="B265" s="30" t="s">
        <v>22</v>
      </c>
      <c r="C265" s="4">
        <v>0.58666666666666667</v>
      </c>
      <c r="D265" s="4">
        <v>0.31111111111111112</v>
      </c>
      <c r="F265" s="106" t="s">
        <v>198</v>
      </c>
      <c r="H265" s="61">
        <v>-9.468</v>
      </c>
      <c r="I265" s="61">
        <v>-5.9649999999999999</v>
      </c>
      <c r="J265" s="61">
        <v>-5.9649999999999999</v>
      </c>
      <c r="K265" s="86">
        <v>-12</v>
      </c>
      <c r="L265" s="86">
        <v>-7.2</v>
      </c>
      <c r="M265" s="61">
        <v>-1.671</v>
      </c>
      <c r="N265" s="61">
        <v>0</v>
      </c>
      <c r="O265" s="61">
        <v>0</v>
      </c>
      <c r="P265" s="61">
        <v>-0.55700000000000016</v>
      </c>
      <c r="Q265" s="61">
        <v>-0.55699999999999994</v>
      </c>
      <c r="R265" s="61">
        <v>-0.55699999999999994</v>
      </c>
      <c r="S265" s="61">
        <v>-0.55699999999999994</v>
      </c>
      <c r="T265" s="61">
        <v>-0.55700000000000038</v>
      </c>
      <c r="U265" s="61">
        <v>-0.5569999999999995</v>
      </c>
      <c r="V265" s="61">
        <v>-0.55700000000000038</v>
      </c>
      <c r="W265" s="61">
        <v>-0.55100000000000016</v>
      </c>
      <c r="X265" s="61">
        <v>1.1610000000000005</v>
      </c>
      <c r="Y265" s="61">
        <v>-4.96</v>
      </c>
      <c r="AA265" s="61">
        <v>-12</v>
      </c>
      <c r="AB265" s="60">
        <v>7.04</v>
      </c>
      <c r="AD265" s="61">
        <v>-7.2</v>
      </c>
      <c r="AE265" s="60">
        <v>2.2400000000000002</v>
      </c>
    </row>
    <row r="266" spans="1:31" ht="18" customHeight="1" x14ac:dyDescent="0.2">
      <c r="A266" s="30" t="s">
        <v>92</v>
      </c>
      <c r="B266" s="30" t="s">
        <v>22</v>
      </c>
      <c r="C266" s="4">
        <v>0.60508182601205851</v>
      </c>
      <c r="D266" s="4">
        <v>0.60508182601205851</v>
      </c>
      <c r="F266" s="106" t="s">
        <v>98</v>
      </c>
      <c r="H266" s="61">
        <v>-5.3719999999999999</v>
      </c>
      <c r="I266" s="61">
        <v>-3.673</v>
      </c>
      <c r="J266" s="61">
        <v>-3.673</v>
      </c>
      <c r="K266" s="86">
        <v>-4.6440000000000001</v>
      </c>
      <c r="L266" s="86">
        <v>-4.6440000000000001</v>
      </c>
      <c r="M266" s="61">
        <v>-0.152</v>
      </c>
      <c r="N266" s="61">
        <v>-0.19100000000000003</v>
      </c>
      <c r="O266" s="61">
        <v>-0.19</v>
      </c>
      <c r="P266" s="61">
        <v>-0.17699999999999994</v>
      </c>
      <c r="Q266" s="61">
        <v>-0.17800000000000005</v>
      </c>
      <c r="R266" s="61">
        <v>-0.17800000000000005</v>
      </c>
      <c r="S266" s="61">
        <v>-0.17700000000000005</v>
      </c>
      <c r="T266" s="61">
        <v>-0.17799999999999994</v>
      </c>
      <c r="U266" s="61">
        <v>-0.17700000000000005</v>
      </c>
      <c r="V266" s="61">
        <v>-9.099999999999997E-2</v>
      </c>
      <c r="W266" s="61">
        <v>-7.2999999999999954E-2</v>
      </c>
      <c r="X266" s="61">
        <v>-7.4000000000000066E-2</v>
      </c>
      <c r="Y266" s="61">
        <v>-1.8360000000000001</v>
      </c>
      <c r="AA266" s="61">
        <v>-4.6440000000000001</v>
      </c>
      <c r="AB266" s="60">
        <v>2.81</v>
      </c>
      <c r="AD266" s="61">
        <v>-4.6440000000000001</v>
      </c>
      <c r="AE266" s="60">
        <v>2.81</v>
      </c>
    </row>
    <row r="267" spans="1:31" ht="18" hidden="1" customHeight="1" outlineLevel="1" x14ac:dyDescent="0.2">
      <c r="A267" s="30" t="s">
        <v>172</v>
      </c>
      <c r="B267" s="30" t="s">
        <v>22</v>
      </c>
      <c r="C267" s="4">
        <v>0</v>
      </c>
      <c r="D267" s="4">
        <v>0</v>
      </c>
      <c r="F267" s="38" t="s">
        <v>173</v>
      </c>
      <c r="G267" s="34"/>
      <c r="H267" s="66">
        <v>0</v>
      </c>
      <c r="I267" s="66">
        <v>0</v>
      </c>
      <c r="J267" s="66">
        <v>0</v>
      </c>
      <c r="K267" s="86">
        <v>0</v>
      </c>
      <c r="L267" s="86">
        <v>0</v>
      </c>
      <c r="M267" s="66">
        <v>0</v>
      </c>
      <c r="N267" s="66">
        <v>0</v>
      </c>
      <c r="O267" s="66">
        <v>0</v>
      </c>
      <c r="P267" s="66">
        <v>0</v>
      </c>
      <c r="Q267" s="66">
        <v>0</v>
      </c>
      <c r="R267" s="66">
        <v>0</v>
      </c>
      <c r="S267" s="66">
        <v>0</v>
      </c>
      <c r="T267" s="66">
        <v>0</v>
      </c>
      <c r="U267" s="66">
        <v>0</v>
      </c>
      <c r="V267" s="66">
        <v>0</v>
      </c>
      <c r="W267" s="66">
        <v>0</v>
      </c>
      <c r="X267" s="66">
        <v>0</v>
      </c>
      <c r="Y267" s="66">
        <v>0</v>
      </c>
      <c r="Z267" s="34"/>
      <c r="AA267" s="66">
        <v>0</v>
      </c>
      <c r="AB267" s="60">
        <v>0</v>
      </c>
      <c r="AC267" s="34"/>
      <c r="AD267" s="66">
        <v>0</v>
      </c>
      <c r="AE267" s="60">
        <v>0</v>
      </c>
    </row>
    <row r="268" spans="1:31" ht="18" hidden="1" customHeight="1" outlineLevel="1" x14ac:dyDescent="0.2">
      <c r="A268" s="30" t="s">
        <v>88</v>
      </c>
      <c r="B268" s="30" t="s">
        <v>22</v>
      </c>
      <c r="C268" s="4">
        <v>0</v>
      </c>
      <c r="D268" s="4">
        <v>0</v>
      </c>
      <c r="F268" s="38" t="s">
        <v>93</v>
      </c>
      <c r="G268" s="34"/>
      <c r="H268" s="66">
        <v>0</v>
      </c>
      <c r="I268" s="66">
        <v>0</v>
      </c>
      <c r="J268" s="66">
        <v>0</v>
      </c>
      <c r="K268" s="86">
        <v>0</v>
      </c>
      <c r="L268" s="86">
        <v>0</v>
      </c>
      <c r="M268" s="66">
        <v>0</v>
      </c>
      <c r="N268" s="66">
        <v>0</v>
      </c>
      <c r="O268" s="66">
        <v>0</v>
      </c>
      <c r="P268" s="66">
        <v>0</v>
      </c>
      <c r="Q268" s="66">
        <v>0</v>
      </c>
      <c r="R268" s="66">
        <v>0</v>
      </c>
      <c r="S268" s="66">
        <v>0</v>
      </c>
      <c r="T268" s="66">
        <v>0</v>
      </c>
      <c r="U268" s="66">
        <v>0</v>
      </c>
      <c r="V268" s="66">
        <v>0</v>
      </c>
      <c r="W268" s="66">
        <v>0</v>
      </c>
      <c r="X268" s="66">
        <v>0</v>
      </c>
      <c r="Y268" s="66">
        <v>0</v>
      </c>
      <c r="Z268" s="34"/>
      <c r="AA268" s="66">
        <v>0</v>
      </c>
      <c r="AB268" s="60">
        <v>0</v>
      </c>
      <c r="AC268" s="34"/>
      <c r="AD268" s="66">
        <v>0</v>
      </c>
      <c r="AE268" s="60">
        <v>0</v>
      </c>
    </row>
    <row r="269" spans="1:31" ht="18" hidden="1" customHeight="1" outlineLevel="1" x14ac:dyDescent="0.2">
      <c r="A269" s="30" t="s">
        <v>174</v>
      </c>
      <c r="B269" s="30" t="s">
        <v>22</v>
      </c>
      <c r="C269" s="4">
        <v>0</v>
      </c>
      <c r="D269" s="4">
        <v>0</v>
      </c>
      <c r="F269" s="38" t="s">
        <v>175</v>
      </c>
      <c r="G269" s="34"/>
      <c r="H269" s="66">
        <v>0</v>
      </c>
      <c r="I269" s="66">
        <v>0</v>
      </c>
      <c r="J269" s="66">
        <v>0</v>
      </c>
      <c r="K269" s="86">
        <v>0</v>
      </c>
      <c r="L269" s="86">
        <v>0</v>
      </c>
      <c r="M269" s="66">
        <v>0</v>
      </c>
      <c r="N269" s="66">
        <v>0</v>
      </c>
      <c r="O269" s="66">
        <v>0</v>
      </c>
      <c r="P269" s="66">
        <v>0</v>
      </c>
      <c r="Q269" s="66">
        <v>0</v>
      </c>
      <c r="R269" s="66">
        <v>0</v>
      </c>
      <c r="S269" s="66">
        <v>0</v>
      </c>
      <c r="T269" s="66">
        <v>0</v>
      </c>
      <c r="U269" s="66">
        <v>0</v>
      </c>
      <c r="V269" s="66">
        <v>0</v>
      </c>
      <c r="W269" s="66">
        <v>0</v>
      </c>
      <c r="X269" s="66">
        <v>0</v>
      </c>
      <c r="Y269" s="66">
        <v>0</v>
      </c>
      <c r="Z269" s="34"/>
      <c r="AA269" s="66">
        <v>0</v>
      </c>
      <c r="AB269" s="60">
        <v>0</v>
      </c>
      <c r="AC269" s="34"/>
      <c r="AD269" s="66">
        <v>0</v>
      </c>
      <c r="AE269" s="60">
        <v>0</v>
      </c>
    </row>
    <row r="270" spans="1:31" ht="18" hidden="1" customHeight="1" outlineLevel="1" x14ac:dyDescent="0.2">
      <c r="A270" s="30" t="s">
        <v>191</v>
      </c>
      <c r="B270" s="30" t="s">
        <v>22</v>
      </c>
      <c r="C270" s="4">
        <v>0</v>
      </c>
      <c r="D270" s="4">
        <v>0</v>
      </c>
      <c r="F270" s="38" t="s">
        <v>192</v>
      </c>
      <c r="G270" s="34"/>
      <c r="H270" s="66">
        <v>0</v>
      </c>
      <c r="I270" s="66">
        <v>0</v>
      </c>
      <c r="J270" s="66">
        <v>0</v>
      </c>
      <c r="K270" s="86">
        <v>0</v>
      </c>
      <c r="L270" s="86">
        <v>0</v>
      </c>
      <c r="M270" s="66">
        <v>0</v>
      </c>
      <c r="N270" s="66">
        <v>0</v>
      </c>
      <c r="O270" s="66">
        <v>0</v>
      </c>
      <c r="P270" s="66">
        <v>0</v>
      </c>
      <c r="Q270" s="66">
        <v>0</v>
      </c>
      <c r="R270" s="66">
        <v>0</v>
      </c>
      <c r="S270" s="66">
        <v>0</v>
      </c>
      <c r="T270" s="66">
        <v>0</v>
      </c>
      <c r="U270" s="66">
        <v>0</v>
      </c>
      <c r="V270" s="66">
        <v>0</v>
      </c>
      <c r="W270" s="66">
        <v>0</v>
      </c>
      <c r="X270" s="66">
        <v>0</v>
      </c>
      <c r="Y270" s="66">
        <v>0</v>
      </c>
      <c r="Z270" s="34"/>
      <c r="AA270" s="66">
        <v>0</v>
      </c>
      <c r="AB270" s="60">
        <v>0</v>
      </c>
      <c r="AC270" s="34"/>
      <c r="AD270" s="66">
        <v>0</v>
      </c>
      <c r="AE270" s="60">
        <v>0</v>
      </c>
    </row>
    <row r="271" spans="1:31" ht="18" hidden="1" customHeight="1" outlineLevel="1" x14ac:dyDescent="0.2">
      <c r="A271" s="30" t="s">
        <v>130</v>
      </c>
      <c r="B271" s="30" t="s">
        <v>22</v>
      </c>
      <c r="C271" s="4">
        <v>0</v>
      </c>
      <c r="D271" s="4">
        <v>0</v>
      </c>
      <c r="F271" s="38" t="s">
        <v>176</v>
      </c>
      <c r="G271" s="34"/>
      <c r="H271" s="66">
        <v>0</v>
      </c>
      <c r="I271" s="66">
        <v>0</v>
      </c>
      <c r="J271" s="66">
        <v>0</v>
      </c>
      <c r="K271" s="86">
        <v>0</v>
      </c>
      <c r="L271" s="86">
        <v>0</v>
      </c>
      <c r="M271" s="66">
        <v>0</v>
      </c>
      <c r="N271" s="66">
        <v>0</v>
      </c>
      <c r="O271" s="66">
        <v>0</v>
      </c>
      <c r="P271" s="66">
        <v>0</v>
      </c>
      <c r="Q271" s="66">
        <v>0</v>
      </c>
      <c r="R271" s="66">
        <v>0</v>
      </c>
      <c r="S271" s="66">
        <v>0</v>
      </c>
      <c r="T271" s="66">
        <v>0</v>
      </c>
      <c r="U271" s="66">
        <v>0</v>
      </c>
      <c r="V271" s="66">
        <v>0</v>
      </c>
      <c r="W271" s="66">
        <v>0</v>
      </c>
      <c r="X271" s="66">
        <v>0</v>
      </c>
      <c r="Y271" s="66">
        <v>0</v>
      </c>
      <c r="Z271" s="34"/>
      <c r="AA271" s="66">
        <v>0</v>
      </c>
      <c r="AB271" s="60">
        <v>0</v>
      </c>
      <c r="AC271" s="34"/>
      <c r="AD271" s="66">
        <v>0</v>
      </c>
      <c r="AE271" s="60">
        <v>0</v>
      </c>
    </row>
    <row r="272" spans="1:31" ht="18" hidden="1" customHeight="1" outlineLevel="1" x14ac:dyDescent="0.2">
      <c r="A272" s="30" t="s">
        <v>177</v>
      </c>
      <c r="B272" s="30" t="s">
        <v>22</v>
      </c>
      <c r="C272" s="4">
        <v>0</v>
      </c>
      <c r="D272" s="4">
        <v>1</v>
      </c>
      <c r="F272" s="38" t="s">
        <v>178</v>
      </c>
      <c r="G272" s="34"/>
      <c r="H272" s="66">
        <v>0</v>
      </c>
      <c r="I272" s="66">
        <v>0</v>
      </c>
      <c r="J272" s="66">
        <v>0</v>
      </c>
      <c r="K272" s="86">
        <v>0</v>
      </c>
      <c r="L272" s="86">
        <v>-3</v>
      </c>
      <c r="M272" s="66">
        <v>0</v>
      </c>
      <c r="N272" s="66">
        <v>0</v>
      </c>
      <c r="O272" s="66">
        <v>0</v>
      </c>
      <c r="P272" s="66">
        <v>0</v>
      </c>
      <c r="Q272" s="66">
        <v>0</v>
      </c>
      <c r="R272" s="66">
        <v>0</v>
      </c>
      <c r="S272" s="66">
        <v>0</v>
      </c>
      <c r="T272" s="66">
        <v>0</v>
      </c>
      <c r="U272" s="66">
        <v>0</v>
      </c>
      <c r="V272" s="66">
        <v>0</v>
      </c>
      <c r="W272" s="66">
        <v>0</v>
      </c>
      <c r="X272" s="66">
        <v>0</v>
      </c>
      <c r="Y272" s="66">
        <v>0</v>
      </c>
      <c r="Z272" s="34"/>
      <c r="AA272" s="66">
        <v>0</v>
      </c>
      <c r="AB272" s="60">
        <v>0</v>
      </c>
      <c r="AC272" s="34"/>
      <c r="AD272" s="66">
        <v>-3</v>
      </c>
      <c r="AE272" s="60">
        <v>3</v>
      </c>
    </row>
    <row r="273" spans="1:31" ht="18" hidden="1" customHeight="1" outlineLevel="1" x14ac:dyDescent="0.2">
      <c r="A273" s="30" t="s">
        <v>179</v>
      </c>
      <c r="B273" s="30" t="s">
        <v>22</v>
      </c>
      <c r="C273" s="4">
        <v>0</v>
      </c>
      <c r="D273" s="4">
        <v>0</v>
      </c>
      <c r="F273" s="38" t="s">
        <v>180</v>
      </c>
      <c r="G273" s="34"/>
      <c r="H273" s="66">
        <v>0</v>
      </c>
      <c r="I273" s="66">
        <v>0</v>
      </c>
      <c r="J273" s="66">
        <v>0</v>
      </c>
      <c r="K273" s="86">
        <v>0</v>
      </c>
      <c r="L273" s="86">
        <v>0</v>
      </c>
      <c r="M273" s="66">
        <v>0</v>
      </c>
      <c r="N273" s="66">
        <v>0</v>
      </c>
      <c r="O273" s="66">
        <v>0</v>
      </c>
      <c r="P273" s="66">
        <v>0</v>
      </c>
      <c r="Q273" s="66">
        <v>0</v>
      </c>
      <c r="R273" s="66">
        <v>0</v>
      </c>
      <c r="S273" s="66">
        <v>0</v>
      </c>
      <c r="T273" s="66">
        <v>0</v>
      </c>
      <c r="U273" s="66">
        <v>0</v>
      </c>
      <c r="V273" s="66">
        <v>0</v>
      </c>
      <c r="W273" s="66">
        <v>0</v>
      </c>
      <c r="X273" s="66">
        <v>0</v>
      </c>
      <c r="Y273" s="66">
        <v>0</v>
      </c>
      <c r="Z273" s="34"/>
      <c r="AA273" s="66">
        <v>0</v>
      </c>
      <c r="AB273" s="60">
        <v>0</v>
      </c>
      <c r="AC273" s="34"/>
      <c r="AD273" s="66">
        <v>0</v>
      </c>
      <c r="AE273" s="60">
        <v>0</v>
      </c>
    </row>
    <row r="274" spans="1:31" ht="18" hidden="1" customHeight="1" outlineLevel="1" x14ac:dyDescent="0.2">
      <c r="A274" s="30" t="s">
        <v>89</v>
      </c>
      <c r="B274" s="30" t="s">
        <v>22</v>
      </c>
      <c r="C274" s="4">
        <v>-1</v>
      </c>
      <c r="D274" s="4">
        <v>-1</v>
      </c>
      <c r="F274" s="38" t="s">
        <v>187</v>
      </c>
      <c r="G274" s="34"/>
      <c r="H274" s="66">
        <v>0</v>
      </c>
      <c r="I274" s="66">
        <v>0</v>
      </c>
      <c r="J274" s="66">
        <v>0</v>
      </c>
      <c r="K274" s="86">
        <v>0</v>
      </c>
      <c r="L274" s="86">
        <v>0</v>
      </c>
      <c r="M274" s="66">
        <v>0</v>
      </c>
      <c r="N274" s="66">
        <v>0</v>
      </c>
      <c r="O274" s="66">
        <v>0</v>
      </c>
      <c r="P274" s="66">
        <v>0</v>
      </c>
      <c r="Q274" s="66">
        <v>0</v>
      </c>
      <c r="R274" s="66">
        <v>0</v>
      </c>
      <c r="S274" s="66">
        <v>0</v>
      </c>
      <c r="T274" s="66">
        <v>0</v>
      </c>
      <c r="U274" s="66">
        <v>0</v>
      </c>
      <c r="V274" s="66">
        <v>0</v>
      </c>
      <c r="W274" s="66">
        <v>-0.01</v>
      </c>
      <c r="X274" s="66">
        <v>0</v>
      </c>
      <c r="Y274" s="66">
        <v>-0.01</v>
      </c>
      <c r="Z274" s="34"/>
      <c r="AA274" s="66">
        <v>0</v>
      </c>
      <c r="AB274" s="60">
        <v>-0.01</v>
      </c>
      <c r="AC274" s="34"/>
      <c r="AD274" s="66">
        <v>0</v>
      </c>
      <c r="AE274" s="60">
        <v>-0.01</v>
      </c>
    </row>
    <row r="275" spans="1:31" ht="18" hidden="1" customHeight="1" outlineLevel="1" x14ac:dyDescent="0.2">
      <c r="A275" s="30" t="s">
        <v>193</v>
      </c>
      <c r="B275" s="30" t="s">
        <v>22</v>
      </c>
      <c r="C275" s="4">
        <v>0</v>
      </c>
      <c r="D275" s="4">
        <v>0</v>
      </c>
      <c r="F275" s="38" t="s">
        <v>194</v>
      </c>
      <c r="G275" s="34"/>
      <c r="H275" s="66">
        <v>0</v>
      </c>
      <c r="I275" s="66">
        <v>0</v>
      </c>
      <c r="J275" s="66">
        <v>0</v>
      </c>
      <c r="K275" s="86">
        <v>0</v>
      </c>
      <c r="L275" s="86">
        <v>0</v>
      </c>
      <c r="M275" s="66">
        <v>0</v>
      </c>
      <c r="N275" s="66">
        <v>0</v>
      </c>
      <c r="O275" s="66">
        <v>0</v>
      </c>
      <c r="P275" s="66">
        <v>0</v>
      </c>
      <c r="Q275" s="66">
        <v>0</v>
      </c>
      <c r="R275" s="66">
        <v>0</v>
      </c>
      <c r="S275" s="66">
        <v>0</v>
      </c>
      <c r="T275" s="66">
        <v>0</v>
      </c>
      <c r="U275" s="66">
        <v>0</v>
      </c>
      <c r="V275" s="66">
        <v>0</v>
      </c>
      <c r="W275" s="66">
        <v>0</v>
      </c>
      <c r="X275" s="66">
        <v>0</v>
      </c>
      <c r="Y275" s="66">
        <v>0</v>
      </c>
      <c r="Z275" s="34"/>
      <c r="AA275" s="66">
        <v>0</v>
      </c>
      <c r="AB275" s="60">
        <v>0</v>
      </c>
      <c r="AC275" s="34"/>
      <c r="AD275" s="66">
        <v>0</v>
      </c>
      <c r="AE275" s="60">
        <v>0</v>
      </c>
    </row>
    <row r="276" spans="1:31" ht="18" hidden="1" customHeight="1" outlineLevel="1" x14ac:dyDescent="0.2">
      <c r="A276" s="30" t="s">
        <v>127</v>
      </c>
      <c r="B276" s="30" t="s">
        <v>22</v>
      </c>
      <c r="C276" s="4">
        <v>0</v>
      </c>
      <c r="D276" s="4">
        <v>0</v>
      </c>
      <c r="F276" s="38" t="s">
        <v>128</v>
      </c>
      <c r="G276" s="34"/>
      <c r="H276" s="66">
        <v>0</v>
      </c>
      <c r="I276" s="66">
        <v>0</v>
      </c>
      <c r="J276" s="66">
        <v>0</v>
      </c>
      <c r="K276" s="86">
        <v>0</v>
      </c>
      <c r="L276" s="86">
        <v>0</v>
      </c>
      <c r="M276" s="66">
        <v>0</v>
      </c>
      <c r="N276" s="66">
        <v>0</v>
      </c>
      <c r="O276" s="66">
        <v>0</v>
      </c>
      <c r="P276" s="66">
        <v>0</v>
      </c>
      <c r="Q276" s="66">
        <v>0</v>
      </c>
      <c r="R276" s="66">
        <v>0</v>
      </c>
      <c r="S276" s="66">
        <v>0</v>
      </c>
      <c r="T276" s="66">
        <v>0</v>
      </c>
      <c r="U276" s="66">
        <v>0</v>
      </c>
      <c r="V276" s="66">
        <v>0</v>
      </c>
      <c r="W276" s="66">
        <v>0</v>
      </c>
      <c r="X276" s="66">
        <v>0</v>
      </c>
      <c r="Y276" s="66">
        <v>0</v>
      </c>
      <c r="Z276" s="34"/>
      <c r="AA276" s="66">
        <v>0</v>
      </c>
      <c r="AB276" s="60">
        <v>0</v>
      </c>
      <c r="AC276" s="34"/>
      <c r="AD276" s="66">
        <v>0</v>
      </c>
      <c r="AE276" s="60">
        <v>0</v>
      </c>
    </row>
    <row r="277" spans="1:31" ht="18" hidden="1" customHeight="1" outlineLevel="1" x14ac:dyDescent="0.2">
      <c r="A277" s="30" t="s">
        <v>261</v>
      </c>
      <c r="B277" s="30" t="s">
        <v>22</v>
      </c>
      <c r="C277" s="4">
        <v>0</v>
      </c>
      <c r="D277" s="4">
        <v>0</v>
      </c>
      <c r="F277" s="38" t="s">
        <v>262</v>
      </c>
      <c r="G277" s="34"/>
      <c r="H277" s="66">
        <v>0</v>
      </c>
      <c r="I277" s="66">
        <v>0</v>
      </c>
      <c r="J277" s="66">
        <v>0</v>
      </c>
      <c r="K277" s="86">
        <v>0</v>
      </c>
      <c r="L277" s="86">
        <v>0</v>
      </c>
      <c r="M277" s="66">
        <v>0</v>
      </c>
      <c r="N277" s="66">
        <v>0</v>
      </c>
      <c r="O277" s="66">
        <v>0</v>
      </c>
      <c r="P277" s="66">
        <v>0</v>
      </c>
      <c r="Q277" s="66">
        <v>0</v>
      </c>
      <c r="R277" s="66">
        <v>0</v>
      </c>
      <c r="S277" s="66">
        <v>0</v>
      </c>
      <c r="T277" s="66">
        <v>0</v>
      </c>
      <c r="U277" s="66">
        <v>0</v>
      </c>
      <c r="V277" s="66">
        <v>0</v>
      </c>
      <c r="W277" s="66">
        <v>0</v>
      </c>
      <c r="X277" s="66">
        <v>0</v>
      </c>
      <c r="Y277" s="66">
        <v>0</v>
      </c>
      <c r="Z277" s="34"/>
      <c r="AA277" s="66">
        <v>0</v>
      </c>
      <c r="AB277" s="60">
        <v>0</v>
      </c>
      <c r="AC277" s="34"/>
      <c r="AD277" s="66">
        <v>0</v>
      </c>
      <c r="AE277" s="60">
        <v>0</v>
      </c>
    </row>
    <row r="278" spans="1:31" ht="18" hidden="1" customHeight="1" outlineLevel="1" x14ac:dyDescent="0.2">
      <c r="A278" s="30" t="s">
        <v>263</v>
      </c>
      <c r="B278" s="30" t="s">
        <v>22</v>
      </c>
      <c r="C278" s="4">
        <v>0</v>
      </c>
      <c r="D278" s="4">
        <v>0</v>
      </c>
      <c r="F278" s="38" t="s">
        <v>264</v>
      </c>
      <c r="G278" s="34"/>
      <c r="H278" s="66">
        <v>0</v>
      </c>
      <c r="I278" s="66">
        <v>0</v>
      </c>
      <c r="J278" s="66">
        <v>0</v>
      </c>
      <c r="K278" s="86">
        <v>0</v>
      </c>
      <c r="L278" s="86">
        <v>0</v>
      </c>
      <c r="M278" s="66">
        <v>0</v>
      </c>
      <c r="N278" s="66">
        <v>0</v>
      </c>
      <c r="O278" s="66">
        <v>0</v>
      </c>
      <c r="P278" s="66">
        <v>0</v>
      </c>
      <c r="Q278" s="66">
        <v>0</v>
      </c>
      <c r="R278" s="66">
        <v>0</v>
      </c>
      <c r="S278" s="66">
        <v>0</v>
      </c>
      <c r="T278" s="66">
        <v>0</v>
      </c>
      <c r="U278" s="66">
        <v>0</v>
      </c>
      <c r="V278" s="66">
        <v>0</v>
      </c>
      <c r="W278" s="66">
        <v>0</v>
      </c>
      <c r="X278" s="66">
        <v>0</v>
      </c>
      <c r="Y278" s="66">
        <v>0</v>
      </c>
      <c r="Z278" s="34"/>
      <c r="AA278" s="66">
        <v>0</v>
      </c>
      <c r="AB278" s="60">
        <v>0</v>
      </c>
      <c r="AC278" s="34"/>
      <c r="AD278" s="66">
        <v>0</v>
      </c>
      <c r="AE278" s="60">
        <v>0</v>
      </c>
    </row>
    <row r="279" spans="1:31" ht="18" hidden="1" customHeight="1" outlineLevel="1" x14ac:dyDescent="0.2">
      <c r="A279" s="30" t="s">
        <v>195</v>
      </c>
      <c r="B279" s="30" t="s">
        <v>22</v>
      </c>
      <c r="C279" s="4">
        <v>0</v>
      </c>
      <c r="D279" s="4">
        <v>0</v>
      </c>
      <c r="F279" s="38" t="s">
        <v>196</v>
      </c>
      <c r="G279" s="34"/>
      <c r="H279" s="66">
        <v>0</v>
      </c>
      <c r="I279" s="66">
        <v>0</v>
      </c>
      <c r="J279" s="66">
        <v>0</v>
      </c>
      <c r="K279" s="86">
        <v>0</v>
      </c>
      <c r="L279" s="86">
        <v>0</v>
      </c>
      <c r="M279" s="66">
        <v>0</v>
      </c>
      <c r="N279" s="66">
        <v>0</v>
      </c>
      <c r="O279" s="66">
        <v>0</v>
      </c>
      <c r="P279" s="66">
        <v>0</v>
      </c>
      <c r="Q279" s="66">
        <v>0</v>
      </c>
      <c r="R279" s="66">
        <v>0</v>
      </c>
      <c r="S279" s="66">
        <v>0</v>
      </c>
      <c r="T279" s="66">
        <v>0</v>
      </c>
      <c r="U279" s="66">
        <v>0</v>
      </c>
      <c r="V279" s="66">
        <v>0</v>
      </c>
      <c r="W279" s="66">
        <v>0</v>
      </c>
      <c r="X279" s="66">
        <v>0</v>
      </c>
      <c r="Y279" s="66">
        <v>0</v>
      </c>
      <c r="Z279" s="34"/>
      <c r="AA279" s="66">
        <v>0</v>
      </c>
      <c r="AB279" s="60">
        <v>0</v>
      </c>
      <c r="AC279" s="34"/>
      <c r="AD279" s="66">
        <v>0</v>
      </c>
      <c r="AE279" s="60">
        <v>0</v>
      </c>
    </row>
    <row r="280" spans="1:31" ht="18" hidden="1" customHeight="1" outlineLevel="1" x14ac:dyDescent="0.2">
      <c r="A280" s="30" t="s">
        <v>200</v>
      </c>
      <c r="B280" s="30" t="s">
        <v>22</v>
      </c>
      <c r="C280" s="4">
        <v>0</v>
      </c>
      <c r="D280" s="4">
        <v>0</v>
      </c>
      <c r="F280" s="104" t="s">
        <v>183</v>
      </c>
      <c r="G280" s="36"/>
      <c r="H280" s="65">
        <v>0</v>
      </c>
      <c r="I280" s="65">
        <v>0</v>
      </c>
      <c r="J280" s="65">
        <v>0</v>
      </c>
      <c r="K280" s="90">
        <v>0</v>
      </c>
      <c r="L280" s="90">
        <v>0</v>
      </c>
      <c r="M280" s="65">
        <v>0</v>
      </c>
      <c r="N280" s="65">
        <v>0</v>
      </c>
      <c r="O280" s="65">
        <v>0</v>
      </c>
      <c r="P280" s="65">
        <v>0</v>
      </c>
      <c r="Q280" s="65">
        <v>0</v>
      </c>
      <c r="R280" s="65">
        <v>0</v>
      </c>
      <c r="S280" s="65">
        <v>0</v>
      </c>
      <c r="T280" s="65">
        <v>0</v>
      </c>
      <c r="U280" s="65">
        <v>0</v>
      </c>
      <c r="V280" s="65">
        <v>0</v>
      </c>
      <c r="W280" s="65">
        <v>0</v>
      </c>
      <c r="X280" s="65">
        <v>0</v>
      </c>
      <c r="Y280" s="65">
        <v>0</v>
      </c>
      <c r="Z280" s="36"/>
      <c r="AA280" s="65">
        <v>0</v>
      </c>
      <c r="AB280" s="60">
        <v>0</v>
      </c>
      <c r="AC280" s="36"/>
      <c r="AD280" s="65">
        <v>0</v>
      </c>
      <c r="AE280" s="60">
        <v>0</v>
      </c>
    </row>
    <row r="281" spans="1:31" ht="18" hidden="1" customHeight="1" outlineLevel="1" x14ac:dyDescent="0.2">
      <c r="A281" s="30" t="s">
        <v>199</v>
      </c>
      <c r="B281" s="30" t="s">
        <v>22</v>
      </c>
      <c r="C281" s="4">
        <v>0</v>
      </c>
      <c r="D281" s="4">
        <v>0</v>
      </c>
      <c r="F281" s="38" t="s">
        <v>184</v>
      </c>
      <c r="G281" s="34"/>
      <c r="H281" s="66">
        <v>0</v>
      </c>
      <c r="I281" s="66">
        <v>0</v>
      </c>
      <c r="J281" s="66">
        <v>0</v>
      </c>
      <c r="K281" s="86">
        <v>0</v>
      </c>
      <c r="L281" s="86">
        <v>0</v>
      </c>
      <c r="M281" s="66">
        <v>0</v>
      </c>
      <c r="N281" s="66">
        <v>0</v>
      </c>
      <c r="O281" s="66">
        <v>0</v>
      </c>
      <c r="P281" s="66">
        <v>0</v>
      </c>
      <c r="Q281" s="66">
        <v>0</v>
      </c>
      <c r="R281" s="66">
        <v>0</v>
      </c>
      <c r="S281" s="66">
        <v>0</v>
      </c>
      <c r="T281" s="66">
        <v>0</v>
      </c>
      <c r="U281" s="66">
        <v>0</v>
      </c>
      <c r="V281" s="66">
        <v>0</v>
      </c>
      <c r="W281" s="66">
        <v>0</v>
      </c>
      <c r="X281" s="66">
        <v>0</v>
      </c>
      <c r="Y281" s="66">
        <v>0</v>
      </c>
      <c r="Z281" s="34"/>
      <c r="AA281" s="66">
        <v>0</v>
      </c>
      <c r="AB281" s="60">
        <v>0</v>
      </c>
      <c r="AC281" s="34"/>
      <c r="AD281" s="66">
        <v>0</v>
      </c>
      <c r="AE281" s="60">
        <v>0</v>
      </c>
    </row>
    <row r="282" spans="1:31" s="253" customFormat="1" ht="18" hidden="1" customHeight="1" outlineLevel="1" x14ac:dyDescent="0.2">
      <c r="A282" s="276" t="s">
        <v>445</v>
      </c>
      <c r="B282" s="276" t="s">
        <v>22</v>
      </c>
      <c r="C282" s="252">
        <v>-1</v>
      </c>
      <c r="D282" s="252">
        <v>0</v>
      </c>
      <c r="F282" s="255" t="s">
        <v>452</v>
      </c>
      <c r="G282" s="239"/>
      <c r="H282" s="241">
        <v>0</v>
      </c>
      <c r="I282" s="241">
        <v>0</v>
      </c>
      <c r="J282" s="241">
        <v>0</v>
      </c>
      <c r="K282" s="258">
        <v>0</v>
      </c>
      <c r="L282" s="258">
        <v>-1</v>
      </c>
      <c r="M282" s="241">
        <v>0</v>
      </c>
      <c r="N282" s="241">
        <v>0</v>
      </c>
      <c r="O282" s="241">
        <v>0</v>
      </c>
      <c r="P282" s="241">
        <v>0</v>
      </c>
      <c r="Q282" s="241">
        <v>-1.17</v>
      </c>
      <c r="R282" s="241">
        <v>0</v>
      </c>
      <c r="S282" s="241">
        <v>0</v>
      </c>
      <c r="T282" s="241">
        <v>0</v>
      </c>
      <c r="U282" s="241">
        <v>0</v>
      </c>
      <c r="V282" s="241">
        <v>0</v>
      </c>
      <c r="W282" s="241">
        <v>0</v>
      </c>
      <c r="X282" s="241">
        <v>0</v>
      </c>
      <c r="Y282" s="241">
        <v>-1.17</v>
      </c>
      <c r="Z282" s="239"/>
      <c r="AA282" s="241">
        <v>0</v>
      </c>
      <c r="AB282" s="256">
        <v>-1.17</v>
      </c>
      <c r="AC282" s="239"/>
      <c r="AD282" s="241"/>
      <c r="AE282" s="256"/>
    </row>
    <row r="283" spans="1:31" ht="18" hidden="1" customHeight="1" outlineLevel="1" x14ac:dyDescent="0.2">
      <c r="A283" s="30" t="s">
        <v>185</v>
      </c>
      <c r="B283" s="30" t="s">
        <v>22</v>
      </c>
      <c r="C283" s="4">
        <v>0</v>
      </c>
      <c r="D283" s="4">
        <v>0</v>
      </c>
      <c r="F283" s="38" t="s">
        <v>186</v>
      </c>
      <c r="G283" s="34"/>
      <c r="H283" s="66">
        <v>0</v>
      </c>
      <c r="I283" s="66">
        <v>1.3109999999999999</v>
      </c>
      <c r="J283" s="66">
        <v>1.3109999999999999</v>
      </c>
      <c r="K283" s="86">
        <v>0</v>
      </c>
      <c r="L283" s="86">
        <v>0</v>
      </c>
      <c r="M283" s="66">
        <v>0</v>
      </c>
      <c r="N283" s="66">
        <v>0</v>
      </c>
      <c r="O283" s="66">
        <v>0</v>
      </c>
      <c r="P283" s="66">
        <v>0</v>
      </c>
      <c r="Q283" s="66">
        <v>0</v>
      </c>
      <c r="R283" s="66">
        <v>0</v>
      </c>
      <c r="S283" s="66">
        <v>0</v>
      </c>
      <c r="T283" s="66">
        <v>0</v>
      </c>
      <c r="U283" s="66">
        <v>0</v>
      </c>
      <c r="V283" s="66">
        <v>0</v>
      </c>
      <c r="W283" s="66">
        <v>0</v>
      </c>
      <c r="X283" s="66">
        <v>0</v>
      </c>
      <c r="Y283" s="66">
        <v>0</v>
      </c>
      <c r="Z283" s="34"/>
      <c r="AA283" s="66">
        <v>0</v>
      </c>
      <c r="AB283" s="60">
        <v>0</v>
      </c>
      <c r="AC283" s="34"/>
      <c r="AD283" s="66">
        <v>0</v>
      </c>
      <c r="AE283" s="60">
        <v>0</v>
      </c>
    </row>
    <row r="284" spans="1:31" ht="18" hidden="1" customHeight="1" outlineLevel="1" x14ac:dyDescent="0.2">
      <c r="A284" s="30" t="s">
        <v>125</v>
      </c>
      <c r="B284" s="30" t="s">
        <v>22</v>
      </c>
      <c r="C284" s="4">
        <v>1</v>
      </c>
      <c r="D284" s="4">
        <v>1</v>
      </c>
      <c r="F284" s="38" t="s">
        <v>126</v>
      </c>
      <c r="G284" s="34"/>
      <c r="H284" s="66">
        <v>-1.117</v>
      </c>
      <c r="I284" s="66">
        <v>-1.0760000000000001</v>
      </c>
      <c r="J284" s="66">
        <v>-1.0760000000000001</v>
      </c>
      <c r="K284" s="86">
        <v>-1</v>
      </c>
      <c r="L284" s="86">
        <v>-1</v>
      </c>
      <c r="M284" s="66">
        <v>0</v>
      </c>
      <c r="N284" s="66">
        <v>0</v>
      </c>
      <c r="O284" s="66">
        <v>0</v>
      </c>
      <c r="P284" s="66">
        <v>0</v>
      </c>
      <c r="Q284" s="66">
        <v>0</v>
      </c>
      <c r="R284" s="66">
        <v>0</v>
      </c>
      <c r="S284" s="66">
        <v>0</v>
      </c>
      <c r="T284" s="66">
        <v>0</v>
      </c>
      <c r="U284" s="66">
        <v>0</v>
      </c>
      <c r="V284" s="66">
        <v>0</v>
      </c>
      <c r="W284" s="66">
        <v>0</v>
      </c>
      <c r="X284" s="66">
        <v>0</v>
      </c>
      <c r="Y284" s="66">
        <v>0</v>
      </c>
      <c r="Z284" s="34"/>
      <c r="AA284" s="66">
        <v>-1</v>
      </c>
      <c r="AB284" s="60">
        <v>1</v>
      </c>
      <c r="AC284" s="34"/>
      <c r="AD284" s="66">
        <v>-1</v>
      </c>
      <c r="AE284" s="60">
        <v>1</v>
      </c>
    </row>
    <row r="285" spans="1:31" ht="18" customHeight="1" collapsed="1" x14ac:dyDescent="0.2">
      <c r="A285" s="35"/>
      <c r="B285" s="35"/>
      <c r="C285" s="4">
        <v>-0.18</v>
      </c>
      <c r="D285" s="4">
        <v>0.76400000000000001</v>
      </c>
      <c r="F285" s="106" t="s">
        <v>69</v>
      </c>
      <c r="H285" s="61">
        <v>-1.117</v>
      </c>
      <c r="I285" s="61">
        <v>0.23499999999999988</v>
      </c>
      <c r="J285" s="61">
        <v>0.23499999999999988</v>
      </c>
      <c r="K285" s="86">
        <v>-1</v>
      </c>
      <c r="L285" s="86">
        <v>-5</v>
      </c>
      <c r="M285" s="61">
        <v>0</v>
      </c>
      <c r="N285" s="61">
        <v>0</v>
      </c>
      <c r="O285" s="61">
        <v>0</v>
      </c>
      <c r="P285" s="61">
        <v>0</v>
      </c>
      <c r="Q285" s="61">
        <v>-1.17</v>
      </c>
      <c r="R285" s="61">
        <v>0</v>
      </c>
      <c r="S285" s="61">
        <v>0</v>
      </c>
      <c r="T285" s="61">
        <v>0</v>
      </c>
      <c r="U285" s="61">
        <v>0</v>
      </c>
      <c r="V285" s="61">
        <v>0</v>
      </c>
      <c r="W285" s="61">
        <v>-0.01</v>
      </c>
      <c r="X285" s="61">
        <v>0</v>
      </c>
      <c r="Y285" s="61">
        <v>-1.18</v>
      </c>
      <c r="AA285" s="61">
        <v>-1</v>
      </c>
      <c r="AB285" s="60">
        <v>-0.18</v>
      </c>
      <c r="AD285" s="61">
        <v>-5</v>
      </c>
      <c r="AE285" s="60">
        <v>3.82</v>
      </c>
    </row>
    <row r="286" spans="1:31" ht="18" customHeight="1" x14ac:dyDescent="0.2">
      <c r="A286" s="30" t="s">
        <v>257</v>
      </c>
      <c r="B286" s="30" t="s">
        <v>22</v>
      </c>
      <c r="C286" s="4">
        <v>0.65599999999999992</v>
      </c>
      <c r="D286" s="4">
        <v>0.65599999999999992</v>
      </c>
      <c r="F286" s="104" t="s">
        <v>258</v>
      </c>
      <c r="G286" s="36"/>
      <c r="H286" s="65">
        <v>-10.46</v>
      </c>
      <c r="I286" s="65">
        <v>-10.663</v>
      </c>
      <c r="J286" s="65">
        <v>-10.663</v>
      </c>
      <c r="K286" s="65">
        <v>5</v>
      </c>
      <c r="L286" s="65">
        <v>5</v>
      </c>
      <c r="M286" s="65">
        <v>-0.26299999999999801</v>
      </c>
      <c r="N286" s="65">
        <v>-2.0720000000000018</v>
      </c>
      <c r="O286" s="65">
        <v>-0.99199999999999999</v>
      </c>
      <c r="P286" s="65">
        <v>0.31099999999999994</v>
      </c>
      <c r="Q286" s="65">
        <v>9.1969999999999992</v>
      </c>
      <c r="R286" s="65">
        <v>-5.4399999999999995</v>
      </c>
      <c r="S286" s="65">
        <v>3.3306690738754696E-16</v>
      </c>
      <c r="T286" s="65">
        <v>4.0570000000000004</v>
      </c>
      <c r="U286" s="65">
        <v>-9.9999999999997868E-3</v>
      </c>
      <c r="V286" s="65">
        <v>1.5089999999999995</v>
      </c>
      <c r="W286" s="65">
        <v>2.4669999999999996</v>
      </c>
      <c r="X286" s="65">
        <v>-0.47999999999999865</v>
      </c>
      <c r="Y286" s="65">
        <v>8.2840000000000007</v>
      </c>
      <c r="Z286" s="36"/>
      <c r="AA286" s="65">
        <v>5</v>
      </c>
      <c r="AB286" s="60">
        <v>3.28</v>
      </c>
      <c r="AC286" s="36"/>
      <c r="AD286" s="65">
        <v>5</v>
      </c>
      <c r="AE286" s="60">
        <v>3.28</v>
      </c>
    </row>
    <row r="287" spans="1:31" ht="18" customHeight="1" x14ac:dyDescent="0.2">
      <c r="A287" s="30" t="s">
        <v>256</v>
      </c>
      <c r="B287" s="30" t="s">
        <v>22</v>
      </c>
      <c r="C287" s="4">
        <v>0</v>
      </c>
      <c r="D287" s="4">
        <v>0</v>
      </c>
      <c r="F287" s="104" t="s">
        <v>259</v>
      </c>
      <c r="G287" s="36"/>
      <c r="H287" s="65">
        <v>0</v>
      </c>
      <c r="I287" s="65">
        <v>0</v>
      </c>
      <c r="J287" s="65">
        <v>0</v>
      </c>
      <c r="K287" s="65">
        <v>0</v>
      </c>
      <c r="L287" s="65">
        <v>0</v>
      </c>
      <c r="M287" s="65">
        <v>0</v>
      </c>
      <c r="N287" s="65">
        <v>0</v>
      </c>
      <c r="O287" s="65">
        <v>0</v>
      </c>
      <c r="P287" s="65">
        <v>0</v>
      </c>
      <c r="Q287" s="65">
        <v>0</v>
      </c>
      <c r="R287" s="65">
        <v>0</v>
      </c>
      <c r="S287" s="65">
        <v>0</v>
      </c>
      <c r="T287" s="65">
        <v>0</v>
      </c>
      <c r="U287" s="65">
        <v>0</v>
      </c>
      <c r="V287" s="65">
        <v>0</v>
      </c>
      <c r="W287" s="65">
        <v>0</v>
      </c>
      <c r="X287" s="65">
        <v>0</v>
      </c>
      <c r="Y287" s="65">
        <v>0</v>
      </c>
      <c r="Z287" s="36"/>
      <c r="AA287" s="65">
        <v>0</v>
      </c>
      <c r="AB287" s="60">
        <v>0</v>
      </c>
      <c r="AC287" s="36"/>
      <c r="AD287" s="65">
        <v>0</v>
      </c>
      <c r="AE287" s="60">
        <v>0</v>
      </c>
    </row>
    <row r="288" spans="1:31" ht="18" customHeight="1" x14ac:dyDescent="0.2">
      <c r="A288" s="35"/>
      <c r="B288" s="35"/>
      <c r="C288" s="4">
        <v>0.17661388550548113</v>
      </c>
      <c r="D288" s="4">
        <v>0.11269048533743117</v>
      </c>
      <c r="F288" s="95" t="s">
        <v>87</v>
      </c>
      <c r="H288" s="64">
        <v>-137.45899999999997</v>
      </c>
      <c r="I288" s="64">
        <v>-131.06099999999998</v>
      </c>
      <c r="J288" s="64">
        <v>-131.06099999999998</v>
      </c>
      <c r="K288" s="89">
        <v>-134.64400000000001</v>
      </c>
      <c r="L288" s="89">
        <v>-124.944</v>
      </c>
      <c r="M288" s="64">
        <v>-12.690999999999997</v>
      </c>
      <c r="N288" s="64">
        <v>-11.016000000000002</v>
      </c>
      <c r="O288" s="64">
        <v>-8.6020000000000021</v>
      </c>
      <c r="P288" s="64">
        <v>-9.7469999999999999</v>
      </c>
      <c r="Q288" s="64">
        <v>-2.3320000000000043</v>
      </c>
      <c r="R288" s="64">
        <v>-12.035999999999998</v>
      </c>
      <c r="S288" s="64">
        <v>-10.277000000000003</v>
      </c>
      <c r="T288" s="64">
        <v>-5.8130000000000006</v>
      </c>
      <c r="U288" s="64">
        <v>-10.842999999999991</v>
      </c>
      <c r="V288" s="64">
        <v>-8.4760000000000026</v>
      </c>
      <c r="W288" s="64">
        <v>-8.2920000000000034</v>
      </c>
      <c r="X288" s="64">
        <v>-10.736999999999998</v>
      </c>
      <c r="Y288" s="64">
        <v>-110.86199999999999</v>
      </c>
      <c r="AA288" s="64">
        <v>-134.64400000000001</v>
      </c>
      <c r="AB288" s="60">
        <v>23.78</v>
      </c>
      <c r="AD288" s="64">
        <v>-124.944</v>
      </c>
      <c r="AE288" s="60">
        <v>14.08</v>
      </c>
    </row>
    <row r="289" spans="1:33" ht="12.95" customHeight="1" x14ac:dyDescent="0.2">
      <c r="A289" s="35"/>
      <c r="B289" s="35"/>
      <c r="C289" s="4"/>
      <c r="D289" s="4"/>
      <c r="F289" s="39" t="s">
        <v>223</v>
      </c>
      <c r="H289" s="56">
        <v>2.965152837203382E-2</v>
      </c>
      <c r="I289" s="56">
        <v>2.8349153522711269E-2</v>
      </c>
      <c r="J289" s="56">
        <v>2.8349153522711269E-2</v>
      </c>
      <c r="K289" s="109">
        <v>2.7215818016805227E-2</v>
      </c>
      <c r="L289" s="109">
        <v>2.4546361649806888E-2</v>
      </c>
      <c r="M289" s="56">
        <v>3.4472829999049277E-2</v>
      </c>
      <c r="N289" s="56">
        <v>2.7906906047256312E-2</v>
      </c>
      <c r="O289" s="56">
        <v>2.0828742793356701E-2</v>
      </c>
      <c r="P289" s="56">
        <v>2.2772513177077482E-2</v>
      </c>
      <c r="Q289" s="56">
        <v>5.1186373713207152E-3</v>
      </c>
      <c r="R289" s="56">
        <v>2.7866916718760862E-2</v>
      </c>
      <c r="S289" s="56">
        <v>2.4265506241691725E-2</v>
      </c>
      <c r="T289" s="56">
        <v>1.2899145678464435E-2</v>
      </c>
      <c r="U289" s="56">
        <v>2.5803887598522611E-2</v>
      </c>
      <c r="V289" s="56">
        <v>1.9175472769516522E-2</v>
      </c>
      <c r="W289" s="56">
        <v>1.8093307527313456E-2</v>
      </c>
      <c r="X289" s="56">
        <v>2.3140983917479555E-2</v>
      </c>
      <c r="Y289" s="56">
        <v>2.1526326070384339E-2</v>
      </c>
      <c r="AA289" s="56">
        <v>2.7215818016805227E-2</v>
      </c>
      <c r="AB289" s="57"/>
      <c r="AD289" s="56">
        <v>2.4546361649806888E-2</v>
      </c>
      <c r="AE289" s="57"/>
    </row>
    <row r="290" spans="1:33" ht="6.95" customHeight="1" x14ac:dyDescent="0.2">
      <c r="C290" s="4"/>
      <c r="D290" s="4"/>
      <c r="F290" s="96"/>
      <c r="H290" s="16"/>
      <c r="I290" s="16"/>
      <c r="J290" s="16"/>
      <c r="K290" s="85"/>
      <c r="L290" s="85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AA290" s="16"/>
      <c r="AB290" s="20"/>
      <c r="AD290" s="16"/>
      <c r="AE290" s="20"/>
    </row>
    <row r="291" spans="1:33" ht="18" customHeight="1" x14ac:dyDescent="0.2">
      <c r="A291" s="30" t="s">
        <v>19</v>
      </c>
      <c r="B291" s="30" t="s">
        <v>25</v>
      </c>
      <c r="C291" s="4">
        <v>-1.0002985965959987</v>
      </c>
      <c r="D291" s="4">
        <v>-19.9375</v>
      </c>
      <c r="F291" s="104" t="s">
        <v>255</v>
      </c>
      <c r="G291" s="36"/>
      <c r="H291" s="65">
        <v>-4.1239999999999997</v>
      </c>
      <c r="I291" s="65">
        <v>-2.6459999999999999</v>
      </c>
      <c r="J291" s="65">
        <v>-2.6459999999999999</v>
      </c>
      <c r="K291" s="65">
        <v>0</v>
      </c>
      <c r="L291" s="65">
        <v>-0.16</v>
      </c>
      <c r="M291" s="65">
        <v>0</v>
      </c>
      <c r="N291" s="65">
        <v>-0.80900000000000005</v>
      </c>
      <c r="O291" s="65">
        <v>-0.23299999999999998</v>
      </c>
      <c r="P291" s="65">
        <v>0</v>
      </c>
      <c r="Q291" s="65">
        <v>-0.49199999999999999</v>
      </c>
      <c r="R291" s="65">
        <v>-0.17399999999999993</v>
      </c>
      <c r="S291" s="65">
        <v>0</v>
      </c>
      <c r="T291" s="65">
        <v>-0.35299999999999998</v>
      </c>
      <c r="U291" s="65">
        <v>-0.55600000000000005</v>
      </c>
      <c r="V291" s="65">
        <v>-0.15899999999999981</v>
      </c>
      <c r="W291" s="65">
        <v>-0.42800000000000038</v>
      </c>
      <c r="X291" s="65">
        <v>-0.14500000000000002</v>
      </c>
      <c r="Y291" s="65">
        <v>-3.3490000000000002</v>
      </c>
      <c r="Z291" s="36"/>
      <c r="AA291" s="65">
        <v>0</v>
      </c>
      <c r="AB291" s="60">
        <v>-3.35</v>
      </c>
      <c r="AC291" s="36"/>
      <c r="AD291" s="65">
        <v>-0.16</v>
      </c>
      <c r="AE291" s="60">
        <v>-3.19</v>
      </c>
    </row>
    <row r="292" spans="1:33" ht="12.95" customHeight="1" x14ac:dyDescent="0.2">
      <c r="A292" s="35"/>
      <c r="B292" s="35"/>
      <c r="C292" s="4"/>
      <c r="D292" s="4"/>
      <c r="F292" s="39" t="s">
        <v>223</v>
      </c>
      <c r="H292" s="56">
        <v>8.895954648751081E-4</v>
      </c>
      <c r="I292" s="56">
        <v>5.7234310909495595E-4</v>
      </c>
      <c r="J292" s="56">
        <v>5.7234310909495595E-4</v>
      </c>
      <c r="K292" s="109">
        <v>0</v>
      </c>
      <c r="L292" s="109">
        <v>3.1433425086191435E-5</v>
      </c>
      <c r="M292" s="56">
        <v>0</v>
      </c>
      <c r="N292" s="56">
        <v>2.0494450791784997E-3</v>
      </c>
      <c r="O292" s="56">
        <v>5.6418240767869212E-4</v>
      </c>
      <c r="P292" s="56">
        <v>0</v>
      </c>
      <c r="Q292" s="56">
        <v>1.07991834763713E-3</v>
      </c>
      <c r="R292" s="56">
        <v>4.02861707300132E-4</v>
      </c>
      <c r="S292" s="56">
        <v>0</v>
      </c>
      <c r="T292" s="56">
        <v>7.8331299234439089E-4</v>
      </c>
      <c r="U292" s="56">
        <v>1.3231542474203251E-3</v>
      </c>
      <c r="V292" s="56">
        <v>3.5970978885714047E-4</v>
      </c>
      <c r="W292" s="56">
        <v>9.3390444062833606E-4</v>
      </c>
      <c r="X292" s="56">
        <v>3.1251212331512865E-4</v>
      </c>
      <c r="Y292" s="56">
        <v>6.5028292841295629E-4</v>
      </c>
      <c r="AA292" s="56">
        <v>0</v>
      </c>
      <c r="AB292" s="57"/>
      <c r="AD292" s="56">
        <v>3.1433425086191435E-5</v>
      </c>
      <c r="AE292" s="57"/>
    </row>
    <row r="293" spans="1:33" ht="6.95" customHeight="1" x14ac:dyDescent="0.2">
      <c r="C293" s="4"/>
      <c r="D293" s="4"/>
      <c r="F293" s="96"/>
      <c r="H293" s="16"/>
      <c r="I293" s="16"/>
      <c r="J293" s="16"/>
      <c r="K293" s="85"/>
      <c r="L293" s="85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AA293" s="16"/>
      <c r="AB293" s="20"/>
      <c r="AD293" s="16"/>
      <c r="AE293" s="20"/>
    </row>
    <row r="294" spans="1:33" s="40" customFormat="1" ht="18" customHeight="1" x14ac:dyDescent="0.2">
      <c r="A294" s="35"/>
      <c r="B294" s="35"/>
      <c r="C294" s="4">
        <v>-0.1814374610406288</v>
      </c>
      <c r="D294" s="4">
        <v>-1.0393619038688266E-2</v>
      </c>
      <c r="E294" s="8"/>
      <c r="F294" s="100" t="s">
        <v>279</v>
      </c>
      <c r="G294" s="8"/>
      <c r="H294" s="62">
        <v>-634.54099999999994</v>
      </c>
      <c r="I294" s="62">
        <v>-596.65899999999999</v>
      </c>
      <c r="J294" s="62">
        <v>-596.65899999999999</v>
      </c>
      <c r="K294" s="108">
        <v>-593.26226999999994</v>
      </c>
      <c r="L294" s="108">
        <v>-693.69484999999986</v>
      </c>
      <c r="M294" s="62">
        <v>-49.039999999999992</v>
      </c>
      <c r="N294" s="62">
        <v>-51.477000000000004</v>
      </c>
      <c r="O294" s="62">
        <v>-49.998999999999988</v>
      </c>
      <c r="P294" s="62">
        <v>-45.332000000000015</v>
      </c>
      <c r="Q294" s="62">
        <v>-38.458999999999982</v>
      </c>
      <c r="R294" s="62">
        <v>-55.987000000000002</v>
      </c>
      <c r="S294" s="62">
        <v>-46.620000000000012</v>
      </c>
      <c r="T294" s="62">
        <v>-38.239999999999974</v>
      </c>
      <c r="U294" s="62">
        <v>-69.041000000000011</v>
      </c>
      <c r="V294" s="62">
        <v>-55.040000000000028</v>
      </c>
      <c r="W294" s="62">
        <v>-135.63699999999997</v>
      </c>
      <c r="X294" s="62">
        <v>-66.034999999999997</v>
      </c>
      <c r="Y294" s="62">
        <v>-700.90700000000004</v>
      </c>
      <c r="Z294" s="8"/>
      <c r="AA294" s="62">
        <v>-593.26226999999994</v>
      </c>
      <c r="AB294" s="60">
        <v>-107.64</v>
      </c>
      <c r="AC294" s="8"/>
      <c r="AD294" s="62">
        <v>-693.69484999999986</v>
      </c>
      <c r="AE294" s="60">
        <v>-7.21</v>
      </c>
      <c r="AG294" s="41"/>
    </row>
    <row r="295" spans="1:33" ht="12.95" customHeight="1" x14ac:dyDescent="0.2">
      <c r="A295" s="35"/>
      <c r="B295" s="35"/>
      <c r="C295" s="4"/>
      <c r="D295" s="4"/>
      <c r="F295" s="39" t="s">
        <v>223</v>
      </c>
      <c r="H295" s="56">
        <v>0.13687798154154121</v>
      </c>
      <c r="I295" s="56">
        <v>0.12906034283049408</v>
      </c>
      <c r="J295" s="56">
        <v>0.12906034283049408</v>
      </c>
      <c r="K295" s="109">
        <v>0.11991709973379255</v>
      </c>
      <c r="L295" s="109">
        <v>0.13628253187594874</v>
      </c>
      <c r="M295" s="56">
        <v>0.13320838256665168</v>
      </c>
      <c r="N295" s="56">
        <v>0.13040702637932217</v>
      </c>
      <c r="O295" s="56">
        <v>0.12106676481342027</v>
      </c>
      <c r="P295" s="56">
        <v>0.1059119285260364</v>
      </c>
      <c r="Q295" s="56">
        <v>8.4415812462960094E-2</v>
      </c>
      <c r="R295" s="56">
        <v>0.1296265425667385</v>
      </c>
      <c r="S295" s="56">
        <v>0.11007666643842252</v>
      </c>
      <c r="T295" s="56">
        <v>8.4855209142349827E-2</v>
      </c>
      <c r="U295" s="56">
        <v>0.16430196474127098</v>
      </c>
      <c r="V295" s="56">
        <v>0.12451840741318897</v>
      </c>
      <c r="W295" s="56">
        <v>0.29596260891005954</v>
      </c>
      <c r="X295" s="56">
        <v>0.14232233146975529</v>
      </c>
      <c r="Y295" s="56">
        <v>0.13609670245002686</v>
      </c>
      <c r="AA295" s="56">
        <v>0.11991709973379255</v>
      </c>
      <c r="AB295" s="57"/>
      <c r="AD295" s="56">
        <v>0.13628253187594874</v>
      </c>
      <c r="AE295" s="57"/>
    </row>
    <row r="296" spans="1:33" ht="6.95" customHeight="1" x14ac:dyDescent="0.2">
      <c r="C296" s="4"/>
      <c r="D296" s="4"/>
      <c r="F296" s="96"/>
      <c r="H296" s="16"/>
      <c r="I296" s="16"/>
      <c r="J296" s="16"/>
      <c r="K296" s="85"/>
      <c r="L296" s="85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AA296" s="16"/>
      <c r="AB296" s="20"/>
      <c r="AD296" s="16"/>
      <c r="AE296" s="20"/>
    </row>
    <row r="297" spans="1:33" s="40" customFormat="1" ht="18" customHeight="1" x14ac:dyDescent="0.2">
      <c r="A297" s="35"/>
      <c r="B297" s="35"/>
      <c r="C297" s="4">
        <v>9.0283876918359998E-2</v>
      </c>
      <c r="D297" s="4">
        <v>-3.2815298575547866E-2</v>
      </c>
      <c r="E297" s="8"/>
      <c r="F297" s="101" t="s">
        <v>23</v>
      </c>
      <c r="G297" s="8"/>
      <c r="H297" s="77">
        <v>799.71300000000087</v>
      </c>
      <c r="I297" s="77">
        <v>890.29100000000074</v>
      </c>
      <c r="J297" s="77">
        <v>890.29100000000074</v>
      </c>
      <c r="K297" s="114">
        <v>979.13385000000039</v>
      </c>
      <c r="L297" s="114">
        <v>1103.7534799999999</v>
      </c>
      <c r="M297" s="77">
        <v>49.564000000000021</v>
      </c>
      <c r="N297" s="77">
        <v>31.231999999999999</v>
      </c>
      <c r="O297" s="77">
        <v>47.218999999999973</v>
      </c>
      <c r="P297" s="77">
        <v>122.17500000000015</v>
      </c>
      <c r="Q297" s="77">
        <v>188.89999999999981</v>
      </c>
      <c r="R297" s="77">
        <v>51.537999999999748</v>
      </c>
      <c r="S297" s="77">
        <v>159.48000000000002</v>
      </c>
      <c r="T297" s="77">
        <v>146.89200000000019</v>
      </c>
      <c r="U297" s="77">
        <v>42.465000000000131</v>
      </c>
      <c r="V297" s="77">
        <v>66.936000000000092</v>
      </c>
      <c r="W297" s="77">
        <v>65.770999999999475</v>
      </c>
      <c r="X297" s="77">
        <v>95.360000000000042</v>
      </c>
      <c r="Y297" s="77">
        <v>1067.5320000000002</v>
      </c>
      <c r="Z297" s="8"/>
      <c r="AA297" s="77">
        <v>979.13385000000051</v>
      </c>
      <c r="AB297" s="60">
        <v>88.4</v>
      </c>
      <c r="AC297" s="8"/>
      <c r="AD297" s="77">
        <v>1103.7534799999999</v>
      </c>
      <c r="AE297" s="60">
        <v>-36.22</v>
      </c>
    </row>
    <row r="298" spans="1:33" ht="12.95" customHeight="1" x14ac:dyDescent="0.2">
      <c r="A298" s="35"/>
      <c r="B298" s="35"/>
      <c r="C298" s="4"/>
      <c r="D298" s="4"/>
      <c r="F298" s="39" t="s">
        <v>223</v>
      </c>
      <c r="H298" s="56">
        <v>0.17250753103823185</v>
      </c>
      <c r="I298" s="56">
        <v>0.19257442136782232</v>
      </c>
      <c r="J298" s="56">
        <v>0.19257442136782232</v>
      </c>
      <c r="K298" s="109">
        <v>0.19791397073537534</v>
      </c>
      <c r="L298" s="109">
        <v>0.21684220204501931</v>
      </c>
      <c r="M298" s="56">
        <v>0.13463173477841617</v>
      </c>
      <c r="N298" s="56">
        <v>7.9120233266876269E-2</v>
      </c>
      <c r="O298" s="56">
        <v>0.11433531806085902</v>
      </c>
      <c r="P298" s="56">
        <v>0.28544493663788295</v>
      </c>
      <c r="Q298" s="56">
        <v>0.41462718672490584</v>
      </c>
      <c r="R298" s="56">
        <v>0.11932578546456385</v>
      </c>
      <c r="S298" s="56">
        <v>0.3765557006349125</v>
      </c>
      <c r="T298" s="56">
        <v>0.32595584156218821</v>
      </c>
      <c r="U298" s="56">
        <v>0.10105709553364077</v>
      </c>
      <c r="V298" s="56">
        <v>0.15143103413170828</v>
      </c>
      <c r="W298" s="56">
        <v>0.1435136190760882</v>
      </c>
      <c r="X298" s="56">
        <v>0.20552521434021156</v>
      </c>
      <c r="Y298" s="56">
        <v>0.20728511052091375</v>
      </c>
      <c r="AA298" s="56">
        <v>0.19791397073537537</v>
      </c>
      <c r="AB298" s="57"/>
      <c r="AD298" s="56">
        <v>0.21684220204501931</v>
      </c>
      <c r="AE298" s="57"/>
    </row>
    <row r="299" spans="1:33" s="11" customFormat="1" ht="6.75" customHeight="1" x14ac:dyDescent="0.2">
      <c r="A299" s="8"/>
      <c r="B299" s="8"/>
      <c r="C299" s="8"/>
      <c r="D299" s="8"/>
      <c r="AF299" s="8"/>
      <c r="AG299" s="8"/>
    </row>
    <row r="300" spans="1:33" s="11" customFormat="1" ht="18" customHeight="1" x14ac:dyDescent="0.2">
      <c r="A300" s="276" t="s">
        <v>92</v>
      </c>
      <c r="B300" s="276" t="s">
        <v>17</v>
      </c>
      <c r="C300" s="253"/>
      <c r="D300" s="253"/>
      <c r="F300" s="101" t="s">
        <v>455</v>
      </c>
      <c r="G300" s="253"/>
      <c r="H300" s="77">
        <v>-7.4669999999999996</v>
      </c>
      <c r="I300" s="77">
        <v>-5.0750000000000002</v>
      </c>
      <c r="J300" s="77">
        <v>-5.0750000000000002</v>
      </c>
      <c r="K300" s="114">
        <v>-5.077</v>
      </c>
      <c r="L300" s="114">
        <v>-5.077</v>
      </c>
      <c r="M300" s="77">
        <v>-0.18099999999999999</v>
      </c>
      <c r="N300" s="77">
        <v>-0.21900000000000003</v>
      </c>
      <c r="O300" s="77">
        <v>-0.21899999999999997</v>
      </c>
      <c r="P300" s="77">
        <v>-0.19799999999999995</v>
      </c>
      <c r="Q300" s="77">
        <v>-0.19799999999999995</v>
      </c>
      <c r="R300" s="77">
        <v>-0.19900000000000007</v>
      </c>
      <c r="S300" s="77">
        <v>-0.19700000000000006</v>
      </c>
      <c r="T300" s="77">
        <v>-0.19799999999999995</v>
      </c>
      <c r="U300" s="77">
        <v>-0.19799999999999995</v>
      </c>
      <c r="V300" s="77">
        <v>-9.8000000000000087E-2</v>
      </c>
      <c r="W300" s="77">
        <v>-7.2999999999999954E-2</v>
      </c>
      <c r="X300" s="77">
        <v>-7.4000000000000066E-2</v>
      </c>
      <c r="Y300" s="77">
        <v>-2.052</v>
      </c>
      <c r="Z300" s="253"/>
      <c r="AA300" s="77">
        <v>-5.077</v>
      </c>
      <c r="AB300" s="256">
        <v>3.03</v>
      </c>
      <c r="AD300" s="77">
        <v>-5.077</v>
      </c>
      <c r="AE300" s="256">
        <v>3.03</v>
      </c>
      <c r="AF300" s="253"/>
      <c r="AG300" s="253"/>
    </row>
    <row r="301" spans="1:33" s="11" customFormat="1" ht="6.75" customHeight="1" x14ac:dyDescent="0.2">
      <c r="A301" s="253"/>
      <c r="B301" s="253"/>
      <c r="C301" s="253"/>
      <c r="D301" s="253"/>
      <c r="AF301" s="253"/>
      <c r="AG301" s="253"/>
    </row>
    <row r="302" spans="1:33" s="11" customFormat="1" ht="18" customHeight="1" x14ac:dyDescent="0.2">
      <c r="A302" s="276" t="s">
        <v>457</v>
      </c>
      <c r="B302" s="276" t="s">
        <v>17</v>
      </c>
      <c r="C302" s="253"/>
      <c r="D302" s="253"/>
      <c r="F302" s="101" t="s">
        <v>456</v>
      </c>
      <c r="G302" s="253"/>
      <c r="H302" s="77">
        <v>807.18000000000097</v>
      </c>
      <c r="I302" s="77">
        <v>895.36599999999999</v>
      </c>
      <c r="J302" s="77">
        <v>895.36599999999999</v>
      </c>
      <c r="K302" s="114">
        <v>984.21085000000096</v>
      </c>
      <c r="L302" s="114">
        <v>1108.8304800000001</v>
      </c>
      <c r="M302" s="77">
        <v>49.744999999999997</v>
      </c>
      <c r="N302" s="77">
        <v>31.450999999999901</v>
      </c>
      <c r="O302" s="77">
        <v>47.438000000000088</v>
      </c>
      <c r="P302" s="77">
        <v>122.37300000000002</v>
      </c>
      <c r="Q302" s="77">
        <v>189.09800000000001</v>
      </c>
      <c r="R302" s="77">
        <v>51.736999999999966</v>
      </c>
      <c r="S302" s="77">
        <v>159.67700000000002</v>
      </c>
      <c r="T302" s="77">
        <v>147.09000000000003</v>
      </c>
      <c r="U302" s="77">
        <v>42.663000000000011</v>
      </c>
      <c r="V302" s="77">
        <v>67.033999999999992</v>
      </c>
      <c r="W302" s="77">
        <v>65.843999999999937</v>
      </c>
      <c r="X302" s="77">
        <v>95.434000000000083</v>
      </c>
      <c r="Y302" s="77">
        <v>1069.5840000000001</v>
      </c>
      <c r="Z302" s="253"/>
      <c r="AA302" s="77">
        <v>984.21085000000096</v>
      </c>
      <c r="AB302" s="256">
        <v>85.37</v>
      </c>
      <c r="AD302" s="77">
        <v>1108.8304800000001</v>
      </c>
      <c r="AE302" s="256">
        <v>-39.25</v>
      </c>
      <c r="AF302" s="253"/>
      <c r="AG302" s="253"/>
    </row>
    <row r="303" spans="1:33" s="11" customFormat="1" x14ac:dyDescent="0.2">
      <c r="A303" s="253"/>
      <c r="B303" s="253"/>
      <c r="C303" s="253"/>
      <c r="D303" s="253"/>
      <c r="AF303" s="253"/>
      <c r="AG303" s="253"/>
    </row>
    <row r="304" spans="1:33" s="11" customFormat="1" x14ac:dyDescent="0.2">
      <c r="A304" s="8"/>
      <c r="B304" s="8"/>
      <c r="C304" s="8"/>
      <c r="D304" s="8"/>
      <c r="AF304" s="8"/>
      <c r="AG304" s="8"/>
    </row>
    <row r="305" spans="1:33" s="11" customFormat="1" x14ac:dyDescent="0.2">
      <c r="A305" s="8"/>
      <c r="B305" s="8"/>
      <c r="C305" s="8"/>
      <c r="D305" s="8"/>
      <c r="AF305" s="8"/>
      <c r="AG305" s="8"/>
    </row>
    <row r="306" spans="1:33" s="11" customFormat="1" x14ac:dyDescent="0.2">
      <c r="A306" s="8"/>
      <c r="B306" s="8"/>
      <c r="C306" s="8"/>
      <c r="D306" s="8"/>
      <c r="AF306" s="8"/>
      <c r="AG306" s="8"/>
    </row>
    <row r="307" spans="1:33" s="11" customFormat="1" x14ac:dyDescent="0.2">
      <c r="A307" s="8"/>
      <c r="B307" s="8"/>
      <c r="C307" s="8"/>
      <c r="D307" s="8"/>
      <c r="AF307" s="8"/>
      <c r="AG307" s="8"/>
    </row>
    <row r="308" spans="1:33" s="11" customFormat="1" x14ac:dyDescent="0.2">
      <c r="A308" s="8"/>
      <c r="B308" s="8"/>
      <c r="C308" s="8"/>
      <c r="D308" s="8"/>
      <c r="AF308" s="8"/>
      <c r="AG308" s="8"/>
    </row>
    <row r="309" spans="1:33" s="11" customFormat="1" x14ac:dyDescent="0.2">
      <c r="A309" s="8"/>
      <c r="B309" s="8"/>
      <c r="C309" s="8"/>
      <c r="D309" s="8"/>
      <c r="AF309" s="8"/>
      <c r="AG309" s="8"/>
    </row>
    <row r="310" spans="1:33" s="11" customFormat="1" x14ac:dyDescent="0.2">
      <c r="A310" s="8"/>
      <c r="B310" s="8"/>
      <c r="C310" s="8"/>
      <c r="D310" s="8"/>
      <c r="AF310" s="8"/>
      <c r="AG310" s="8"/>
    </row>
    <row r="311" spans="1:33" s="11" customFormat="1" x14ac:dyDescent="0.2">
      <c r="A311" s="8"/>
      <c r="B311" s="8"/>
      <c r="C311" s="8"/>
      <c r="D311" s="8"/>
      <c r="AF311" s="8"/>
      <c r="AG311" s="8"/>
    </row>
    <row r="312" spans="1:33" s="11" customFormat="1" x14ac:dyDescent="0.2">
      <c r="A312" s="8"/>
      <c r="B312" s="8"/>
      <c r="C312" s="8"/>
      <c r="D312" s="8"/>
      <c r="AF312" s="8"/>
      <c r="AG312" s="8"/>
    </row>
    <row r="313" spans="1:33" s="11" customFormat="1" x14ac:dyDescent="0.2">
      <c r="A313" s="8"/>
      <c r="B313" s="8"/>
      <c r="C313" s="8"/>
      <c r="D313" s="8"/>
      <c r="AF313" s="8"/>
      <c r="AG313" s="8"/>
    </row>
    <row r="314" spans="1:33" s="11" customFormat="1" x14ac:dyDescent="0.2">
      <c r="A314" s="8"/>
      <c r="B314" s="8"/>
      <c r="C314" s="8"/>
      <c r="D314" s="8"/>
      <c r="AF314" s="8"/>
      <c r="AG314" s="8"/>
    </row>
    <row r="315" spans="1:33" s="11" customFormat="1" x14ac:dyDescent="0.2">
      <c r="A315" s="8"/>
      <c r="B315" s="8"/>
      <c r="C315" s="8"/>
      <c r="D315" s="8"/>
      <c r="AF315" s="8"/>
      <c r="AG315" s="8"/>
    </row>
    <row r="316" spans="1:33" s="11" customFormat="1" x14ac:dyDescent="0.2">
      <c r="A316" s="8"/>
      <c r="B316" s="8"/>
      <c r="C316" s="8"/>
      <c r="D316" s="8"/>
      <c r="AF316" s="8"/>
      <c r="AG316" s="8"/>
    </row>
    <row r="317" spans="1:33" s="11" customFormat="1" x14ac:dyDescent="0.2">
      <c r="A317" s="8"/>
      <c r="B317" s="8"/>
      <c r="C317" s="8"/>
      <c r="D317" s="8"/>
      <c r="AF317" s="8"/>
      <c r="AG317" s="8"/>
    </row>
    <row r="318" spans="1:33" s="11" customFormat="1" x14ac:dyDescent="0.2">
      <c r="A318" s="8"/>
      <c r="B318" s="8"/>
      <c r="C318" s="8"/>
      <c r="D318" s="8"/>
      <c r="AF318" s="8"/>
      <c r="AG318" s="8"/>
    </row>
    <row r="319" spans="1:33" s="11" customFormat="1" x14ac:dyDescent="0.2">
      <c r="A319" s="8"/>
      <c r="B319" s="8"/>
      <c r="C319" s="8"/>
      <c r="D319" s="8"/>
      <c r="AF319" s="8"/>
      <c r="AG319" s="8"/>
    </row>
    <row r="320" spans="1:33" s="11" customFormat="1" x14ac:dyDescent="0.2">
      <c r="A320" s="8"/>
      <c r="B320" s="8"/>
      <c r="C320" s="8"/>
      <c r="D320" s="8"/>
      <c r="AF320" s="8"/>
      <c r="AG320" s="8"/>
    </row>
    <row r="321" spans="1:33" s="11" customFormat="1" x14ac:dyDescent="0.2">
      <c r="A321" s="8"/>
      <c r="B321" s="8"/>
      <c r="C321" s="8"/>
      <c r="D321" s="8"/>
      <c r="AF321" s="8"/>
      <c r="AG321" s="8"/>
    </row>
    <row r="322" spans="1:33" s="11" customFormat="1" x14ac:dyDescent="0.2">
      <c r="A322" s="8"/>
      <c r="B322" s="8"/>
      <c r="C322" s="8"/>
      <c r="D322" s="8"/>
      <c r="AF322" s="8"/>
      <c r="AG322" s="8"/>
    </row>
    <row r="323" spans="1:33" s="11" customFormat="1" x14ac:dyDescent="0.2">
      <c r="A323" s="8"/>
      <c r="B323" s="8"/>
      <c r="C323" s="8"/>
      <c r="D323" s="8"/>
      <c r="AF323" s="8"/>
      <c r="AG323" s="8"/>
    </row>
    <row r="324" spans="1:33" s="11" customFormat="1" x14ac:dyDescent="0.2">
      <c r="A324" s="8"/>
      <c r="B324" s="8"/>
      <c r="C324" s="8"/>
      <c r="D324" s="8"/>
      <c r="AF324" s="8"/>
      <c r="AG324" s="8"/>
    </row>
    <row r="325" spans="1:33" s="11" customFormat="1" x14ac:dyDescent="0.2">
      <c r="A325" s="8"/>
      <c r="B325" s="8"/>
      <c r="C325" s="8"/>
      <c r="D325" s="8"/>
      <c r="AF325" s="8"/>
      <c r="AG325" s="8"/>
    </row>
    <row r="326" spans="1:33" s="11" customFormat="1" x14ac:dyDescent="0.2">
      <c r="A326" s="8"/>
      <c r="B326" s="8"/>
      <c r="C326" s="8"/>
      <c r="D326" s="8"/>
      <c r="AF326" s="8"/>
      <c r="AG326" s="8"/>
    </row>
    <row r="327" spans="1:33" s="11" customFormat="1" x14ac:dyDescent="0.2">
      <c r="A327" s="8"/>
      <c r="B327" s="8"/>
      <c r="C327" s="8"/>
      <c r="D327" s="8"/>
      <c r="AF327" s="8"/>
      <c r="AG327" s="8"/>
    </row>
    <row r="328" spans="1:33" s="11" customFormat="1" x14ac:dyDescent="0.2">
      <c r="A328" s="8"/>
      <c r="B328" s="8"/>
      <c r="C328" s="8"/>
      <c r="D328" s="8"/>
      <c r="AF328" s="8"/>
      <c r="AG328" s="8"/>
    </row>
    <row r="329" spans="1:33" s="11" customFormat="1" x14ac:dyDescent="0.2">
      <c r="A329" s="8"/>
      <c r="B329" s="8"/>
      <c r="C329" s="8"/>
      <c r="D329" s="8"/>
      <c r="AF329" s="8"/>
      <c r="AG329" s="8"/>
    </row>
    <row r="330" spans="1:33" s="11" customFormat="1" x14ac:dyDescent="0.2">
      <c r="A330" s="8"/>
      <c r="B330" s="8"/>
      <c r="C330" s="8"/>
      <c r="D330" s="8"/>
      <c r="AF330" s="8"/>
      <c r="AG330" s="8"/>
    </row>
    <row r="331" spans="1:33" s="11" customFormat="1" x14ac:dyDescent="0.2">
      <c r="A331" s="8"/>
      <c r="B331" s="8"/>
      <c r="C331" s="8"/>
      <c r="D331" s="8"/>
      <c r="AF331" s="8"/>
      <c r="AG331" s="8"/>
    </row>
    <row r="332" spans="1:33" s="11" customFormat="1" x14ac:dyDescent="0.2">
      <c r="A332" s="8"/>
      <c r="B332" s="8"/>
      <c r="C332" s="8"/>
      <c r="D332" s="8"/>
      <c r="AF332" s="8"/>
      <c r="AG332" s="8"/>
    </row>
    <row r="333" spans="1:33" s="11" customFormat="1" x14ac:dyDescent="0.2">
      <c r="A333" s="8"/>
      <c r="B333" s="8"/>
      <c r="C333" s="8"/>
      <c r="D333" s="8"/>
      <c r="AF333" s="8"/>
      <c r="AG333" s="8"/>
    </row>
    <row r="334" spans="1:33" s="11" customFormat="1" x14ac:dyDescent="0.2">
      <c r="A334" s="8"/>
      <c r="B334" s="8"/>
      <c r="C334" s="8"/>
      <c r="D334" s="8"/>
      <c r="AF334" s="8"/>
      <c r="AG334" s="8"/>
    </row>
    <row r="335" spans="1:33" s="11" customFormat="1" x14ac:dyDescent="0.2">
      <c r="A335" s="8"/>
      <c r="B335" s="8"/>
      <c r="C335" s="8"/>
      <c r="D335" s="8"/>
      <c r="AF335" s="8"/>
      <c r="AG335" s="8"/>
    </row>
    <row r="336" spans="1:33" s="11" customFormat="1" x14ac:dyDescent="0.2">
      <c r="A336" s="8"/>
      <c r="B336" s="8"/>
      <c r="C336" s="8"/>
      <c r="D336" s="8"/>
      <c r="AF336" s="8"/>
      <c r="AG336" s="8"/>
    </row>
    <row r="337" spans="1:33" s="11" customFormat="1" x14ac:dyDescent="0.2">
      <c r="A337" s="8"/>
      <c r="B337" s="8"/>
      <c r="C337" s="8"/>
      <c r="D337" s="8"/>
      <c r="AF337" s="8"/>
      <c r="AG337" s="8"/>
    </row>
    <row r="338" spans="1:33" s="11" customFormat="1" x14ac:dyDescent="0.2">
      <c r="A338" s="8"/>
      <c r="B338" s="8"/>
      <c r="C338" s="8"/>
      <c r="D338" s="8"/>
      <c r="AF338" s="8"/>
      <c r="AG338" s="8"/>
    </row>
    <row r="339" spans="1:33" s="11" customFormat="1" x14ac:dyDescent="0.2">
      <c r="A339" s="8"/>
      <c r="B339" s="8"/>
      <c r="C339" s="8"/>
      <c r="D339" s="8"/>
      <c r="AF339" s="8"/>
      <c r="AG339" s="8"/>
    </row>
    <row r="340" spans="1:33" s="11" customFormat="1" x14ac:dyDescent="0.2">
      <c r="A340" s="8"/>
      <c r="B340" s="8"/>
      <c r="C340" s="8"/>
      <c r="D340" s="8"/>
      <c r="AF340" s="8"/>
      <c r="AG340" s="8"/>
    </row>
    <row r="341" spans="1:33" s="11" customFormat="1" x14ac:dyDescent="0.2">
      <c r="A341" s="8"/>
      <c r="B341" s="8"/>
      <c r="C341" s="8"/>
      <c r="D341" s="8"/>
      <c r="AF341" s="8"/>
      <c r="AG341" s="8"/>
    </row>
    <row r="342" spans="1:33" s="11" customFormat="1" x14ac:dyDescent="0.2">
      <c r="A342" s="8"/>
      <c r="B342" s="8"/>
      <c r="C342" s="8"/>
      <c r="D342" s="8"/>
      <c r="AF342" s="8"/>
      <c r="AG342" s="8"/>
    </row>
    <row r="343" spans="1:33" s="11" customFormat="1" x14ac:dyDescent="0.2">
      <c r="A343" s="8"/>
      <c r="B343" s="8"/>
      <c r="C343" s="8"/>
      <c r="D343" s="8"/>
      <c r="AF343" s="8"/>
      <c r="AG343" s="8"/>
    </row>
    <row r="344" spans="1:33" s="11" customFormat="1" x14ac:dyDescent="0.2">
      <c r="A344" s="8"/>
      <c r="B344" s="8"/>
      <c r="C344" s="8"/>
      <c r="D344" s="8"/>
      <c r="AF344" s="8"/>
      <c r="AG344" s="8"/>
    </row>
    <row r="345" spans="1:33" s="11" customFormat="1" x14ac:dyDescent="0.2">
      <c r="A345" s="8"/>
      <c r="B345" s="8"/>
      <c r="C345" s="8"/>
      <c r="D345" s="8"/>
      <c r="AF345" s="8"/>
      <c r="AG345" s="8"/>
    </row>
    <row r="346" spans="1:33" s="11" customFormat="1" x14ac:dyDescent="0.2">
      <c r="A346" s="8"/>
      <c r="B346" s="8"/>
      <c r="C346" s="8"/>
      <c r="D346" s="8"/>
      <c r="AF346" s="8"/>
      <c r="AG346" s="8"/>
    </row>
    <row r="347" spans="1:33" s="11" customFormat="1" x14ac:dyDescent="0.2">
      <c r="A347" s="8"/>
      <c r="B347" s="8"/>
      <c r="C347" s="8"/>
      <c r="D347" s="8"/>
      <c r="AF347" s="8"/>
      <c r="AG347" s="8"/>
    </row>
    <row r="350" spans="1:33" ht="18" customHeight="1" x14ac:dyDescent="0.2">
      <c r="A350" s="30" t="s">
        <v>287</v>
      </c>
      <c r="B350" s="30" t="s">
        <v>17</v>
      </c>
      <c r="C350" s="4">
        <v>0</v>
      </c>
      <c r="D350" s="4">
        <v>0</v>
      </c>
      <c r="F350" s="106" t="s">
        <v>288</v>
      </c>
      <c r="H350" s="61">
        <v>0</v>
      </c>
      <c r="I350" s="61">
        <v>0</v>
      </c>
      <c r="J350" s="61">
        <v>0</v>
      </c>
      <c r="K350" s="86">
        <v>0</v>
      </c>
      <c r="L350" s="86">
        <v>0</v>
      </c>
      <c r="M350" s="61">
        <v>0</v>
      </c>
      <c r="N350" s="61">
        <v>0</v>
      </c>
      <c r="O350" s="61">
        <v>0</v>
      </c>
      <c r="P350" s="61">
        <v>0</v>
      </c>
      <c r="Q350" s="61">
        <v>0</v>
      </c>
      <c r="R350" s="61">
        <v>0</v>
      </c>
      <c r="S350" s="61">
        <v>0</v>
      </c>
      <c r="T350" s="61">
        <v>0</v>
      </c>
      <c r="U350" s="61">
        <v>0</v>
      </c>
      <c r="V350" s="61">
        <v>0</v>
      </c>
      <c r="W350" s="61">
        <v>0</v>
      </c>
      <c r="X350" s="61">
        <v>0</v>
      </c>
      <c r="Y350" s="61">
        <v>0</v>
      </c>
      <c r="AA350" s="61">
        <v>0</v>
      </c>
      <c r="AB350" s="20"/>
      <c r="AD350" s="61">
        <v>0</v>
      </c>
      <c r="AE350" s="20"/>
    </row>
    <row r="351" spans="1:33" ht="18" hidden="1" customHeight="1" outlineLevel="1" x14ac:dyDescent="0.2">
      <c r="A351" s="30" t="s">
        <v>291</v>
      </c>
      <c r="B351" s="30" t="s">
        <v>17</v>
      </c>
      <c r="C351" s="4">
        <v>0</v>
      </c>
      <c r="D351" s="4">
        <v>0</v>
      </c>
      <c r="F351" s="106" t="s">
        <v>290</v>
      </c>
      <c r="H351" s="61">
        <v>788.40899999999999</v>
      </c>
      <c r="I351" s="61">
        <v>771.66700000000003</v>
      </c>
      <c r="J351" s="61">
        <v>771.66700000000003</v>
      </c>
      <c r="K351" s="86">
        <v>880.45899999999995</v>
      </c>
      <c r="L351" s="86">
        <v>814.46500000000003</v>
      </c>
      <c r="M351" s="61">
        <v>59.2</v>
      </c>
      <c r="N351" s="61">
        <v>122.426</v>
      </c>
      <c r="O351" s="61">
        <v>189.75200000000001</v>
      </c>
      <c r="P351" s="61">
        <v>258.80900000000003</v>
      </c>
      <c r="Q351" s="61">
        <v>319.89999999999998</v>
      </c>
      <c r="R351" s="61">
        <v>399.90199999999999</v>
      </c>
      <c r="S351" s="61">
        <v>450.161</v>
      </c>
      <c r="T351" s="61">
        <v>501.31799999999998</v>
      </c>
      <c r="U351" s="61">
        <v>573.58100000000002</v>
      </c>
      <c r="V351" s="61">
        <v>657.22299999999996</v>
      </c>
      <c r="W351" s="61">
        <v>731.23699999999997</v>
      </c>
      <c r="X351" s="61">
        <v>799.05799999999999</v>
      </c>
      <c r="Y351" s="61">
        <v>799.05799999999999</v>
      </c>
      <c r="AA351" s="61">
        <v>880.45899999999995</v>
      </c>
      <c r="AB351" s="20"/>
      <c r="AD351" s="61">
        <v>814.46500000000003</v>
      </c>
      <c r="AE351" s="20"/>
    </row>
    <row r="352" spans="1:33" ht="18" customHeight="1" collapsed="1" x14ac:dyDescent="0.2">
      <c r="A352" s="30" t="s">
        <v>287</v>
      </c>
      <c r="B352" s="30" t="s">
        <v>17</v>
      </c>
      <c r="C352" s="4">
        <v>0</v>
      </c>
      <c r="D352" s="4">
        <v>0</v>
      </c>
      <c r="F352" s="107" t="s">
        <v>289</v>
      </c>
      <c r="H352" s="78">
        <v>0</v>
      </c>
      <c r="I352" s="78">
        <v>0</v>
      </c>
      <c r="J352" s="78">
        <v>0</v>
      </c>
      <c r="K352" s="87">
        <v>0</v>
      </c>
      <c r="L352" s="87">
        <v>0</v>
      </c>
      <c r="M352" s="78">
        <v>0</v>
      </c>
      <c r="N352" s="78">
        <v>0</v>
      </c>
      <c r="O352" s="78">
        <v>0</v>
      </c>
      <c r="P352" s="78">
        <v>0</v>
      </c>
      <c r="Q352" s="78">
        <v>0</v>
      </c>
      <c r="R352" s="78">
        <v>0</v>
      </c>
      <c r="S352" s="78">
        <v>0</v>
      </c>
      <c r="T352" s="78">
        <v>0</v>
      </c>
      <c r="U352" s="78">
        <v>0</v>
      </c>
      <c r="V352" s="78">
        <v>0</v>
      </c>
      <c r="W352" s="78">
        <v>0</v>
      </c>
      <c r="X352" s="78">
        <v>0</v>
      </c>
      <c r="Y352" s="78">
        <v>0</v>
      </c>
      <c r="AA352" s="78">
        <v>0</v>
      </c>
      <c r="AB352" s="20"/>
      <c r="AD352" s="78">
        <v>0</v>
      </c>
      <c r="AE352" s="20"/>
    </row>
    <row r="353" spans="1:31" ht="15" x14ac:dyDescent="0.2">
      <c r="A353" s="4"/>
      <c r="B353" s="4"/>
      <c r="C353" s="4"/>
      <c r="D353" s="4"/>
      <c r="F353" s="96"/>
      <c r="H353" s="16"/>
      <c r="I353" s="16"/>
      <c r="J353" s="16"/>
      <c r="K353" s="85"/>
      <c r="L353" s="85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AA353" s="16"/>
      <c r="AB353" s="20"/>
      <c r="AD353" s="16"/>
      <c r="AE353" s="20"/>
    </row>
    <row r="354" spans="1:31" ht="18" customHeight="1" x14ac:dyDescent="0.2">
      <c r="A354" s="30" t="s">
        <v>293</v>
      </c>
      <c r="B354" s="30" t="s">
        <v>17</v>
      </c>
      <c r="C354" s="4">
        <v>0</v>
      </c>
      <c r="D354" s="4">
        <v>0</v>
      </c>
      <c r="F354" s="106" t="s">
        <v>357</v>
      </c>
      <c r="H354" s="61">
        <v>0</v>
      </c>
      <c r="I354" s="61">
        <v>0</v>
      </c>
      <c r="J354" s="61">
        <v>0</v>
      </c>
      <c r="K354" s="88"/>
      <c r="L354" s="88"/>
      <c r="M354" s="61">
        <v>0</v>
      </c>
      <c r="N354" s="61">
        <v>0</v>
      </c>
      <c r="O354" s="61">
        <v>0</v>
      </c>
      <c r="P354" s="61">
        <v>0</v>
      </c>
      <c r="Q354" s="61">
        <v>0</v>
      </c>
      <c r="R354" s="61">
        <v>0</v>
      </c>
      <c r="S354" s="61">
        <v>0</v>
      </c>
      <c r="T354" s="61">
        <v>0</v>
      </c>
      <c r="U354" s="61">
        <v>0</v>
      </c>
      <c r="V354" s="61">
        <v>0</v>
      </c>
      <c r="W354" s="61">
        <v>0</v>
      </c>
      <c r="X354" s="61">
        <v>0</v>
      </c>
      <c r="Y354" s="61">
        <v>0</v>
      </c>
      <c r="AA354" s="16"/>
      <c r="AB354" s="20"/>
      <c r="AD354" s="16"/>
      <c r="AE354" s="20"/>
    </row>
    <row r="355" spans="1:31" ht="18" customHeight="1" x14ac:dyDescent="0.2">
      <c r="A355" s="30" t="s">
        <v>294</v>
      </c>
      <c r="B355" s="30" t="s">
        <v>17</v>
      </c>
      <c r="C355" s="4">
        <v>0</v>
      </c>
      <c r="D355" s="4">
        <v>0</v>
      </c>
      <c r="F355" s="106" t="s">
        <v>358</v>
      </c>
      <c r="H355" s="61">
        <v>0</v>
      </c>
      <c r="I355" s="61">
        <v>0</v>
      </c>
      <c r="J355" s="61">
        <v>0</v>
      </c>
      <c r="K355" s="88"/>
      <c r="L355" s="88"/>
      <c r="M355" s="61">
        <v>0</v>
      </c>
      <c r="N355" s="61">
        <v>0</v>
      </c>
      <c r="O355" s="61">
        <v>0</v>
      </c>
      <c r="P355" s="61">
        <v>0</v>
      </c>
      <c r="Q355" s="61">
        <v>0</v>
      </c>
      <c r="R355" s="61">
        <v>0</v>
      </c>
      <c r="S355" s="61">
        <v>0</v>
      </c>
      <c r="T355" s="61">
        <v>0</v>
      </c>
      <c r="U355" s="61">
        <v>0</v>
      </c>
      <c r="V355" s="61">
        <v>0</v>
      </c>
      <c r="W355" s="61">
        <v>0</v>
      </c>
      <c r="X355" s="61">
        <v>0</v>
      </c>
      <c r="Y355" s="61">
        <v>0</v>
      </c>
      <c r="AA355" s="16"/>
      <c r="AB355" s="20"/>
      <c r="AD355" s="16"/>
      <c r="AE355" s="20"/>
    </row>
    <row r="356" spans="1:31" ht="18" customHeight="1" x14ac:dyDescent="0.2">
      <c r="A356" s="30" t="s">
        <v>295</v>
      </c>
      <c r="B356" s="30" t="s">
        <v>17</v>
      </c>
      <c r="C356" s="4">
        <v>0</v>
      </c>
      <c r="D356" s="4">
        <v>0</v>
      </c>
      <c r="F356" s="106" t="s">
        <v>359</v>
      </c>
      <c r="H356" s="61">
        <v>0</v>
      </c>
      <c r="I356" s="61">
        <v>0</v>
      </c>
      <c r="J356" s="61">
        <v>0</v>
      </c>
      <c r="K356" s="88"/>
      <c r="L356" s="88"/>
      <c r="M356" s="61">
        <v>0</v>
      </c>
      <c r="N356" s="61">
        <v>0</v>
      </c>
      <c r="O356" s="61">
        <v>0</v>
      </c>
      <c r="P356" s="61">
        <v>0</v>
      </c>
      <c r="Q356" s="61">
        <v>0</v>
      </c>
      <c r="R356" s="61">
        <v>0</v>
      </c>
      <c r="S356" s="61">
        <v>0</v>
      </c>
      <c r="T356" s="61">
        <v>0</v>
      </c>
      <c r="U356" s="61">
        <v>0</v>
      </c>
      <c r="V356" s="61">
        <v>0</v>
      </c>
      <c r="W356" s="61">
        <v>0</v>
      </c>
      <c r="X356" s="61">
        <v>0</v>
      </c>
      <c r="Y356" s="61">
        <v>0</v>
      </c>
      <c r="AA356" s="16"/>
      <c r="AB356" s="20"/>
      <c r="AD356" s="16"/>
      <c r="AE356" s="20"/>
    </row>
    <row r="357" spans="1:31" ht="18" customHeight="1" x14ac:dyDescent="0.2">
      <c r="A357" s="30" t="s">
        <v>296</v>
      </c>
      <c r="B357" s="30" t="s">
        <v>17</v>
      </c>
      <c r="C357" s="4">
        <v>0</v>
      </c>
      <c r="D357" s="4">
        <v>0</v>
      </c>
      <c r="F357" s="106" t="s">
        <v>360</v>
      </c>
      <c r="H357" s="61">
        <v>0</v>
      </c>
      <c r="I357" s="61">
        <v>0</v>
      </c>
      <c r="J357" s="61">
        <v>0</v>
      </c>
      <c r="K357" s="88"/>
      <c r="L357" s="88"/>
      <c r="M357" s="61">
        <v>0</v>
      </c>
      <c r="N357" s="61">
        <v>0</v>
      </c>
      <c r="O357" s="61">
        <v>0</v>
      </c>
      <c r="P357" s="61">
        <v>0</v>
      </c>
      <c r="Q357" s="61">
        <v>0</v>
      </c>
      <c r="R357" s="61">
        <v>0</v>
      </c>
      <c r="S357" s="61">
        <v>0</v>
      </c>
      <c r="T357" s="61">
        <v>0</v>
      </c>
      <c r="U357" s="61">
        <v>0</v>
      </c>
      <c r="V357" s="61">
        <v>0</v>
      </c>
      <c r="W357" s="61">
        <v>0</v>
      </c>
      <c r="X357" s="61">
        <v>0</v>
      </c>
      <c r="Y357" s="61">
        <v>0</v>
      </c>
      <c r="AA357" s="16"/>
      <c r="AB357" s="20"/>
      <c r="AD357" s="16"/>
      <c r="AE357" s="20"/>
    </row>
    <row r="358" spans="1:31" ht="18" customHeight="1" x14ac:dyDescent="0.2">
      <c r="A358" s="30" t="s">
        <v>297</v>
      </c>
      <c r="B358" s="30" t="s">
        <v>17</v>
      </c>
      <c r="C358" s="4">
        <v>0</v>
      </c>
      <c r="D358" s="4">
        <v>0</v>
      </c>
      <c r="F358" s="106" t="s">
        <v>361</v>
      </c>
      <c r="H358" s="61">
        <v>0</v>
      </c>
      <c r="I358" s="61">
        <v>0</v>
      </c>
      <c r="J358" s="61">
        <v>0</v>
      </c>
      <c r="K358" s="88"/>
      <c r="L358" s="88"/>
      <c r="M358" s="61">
        <v>0</v>
      </c>
      <c r="N358" s="61">
        <v>0</v>
      </c>
      <c r="O358" s="61">
        <v>0</v>
      </c>
      <c r="P358" s="61">
        <v>0</v>
      </c>
      <c r="Q358" s="61">
        <v>0</v>
      </c>
      <c r="R358" s="61">
        <v>0</v>
      </c>
      <c r="S358" s="61">
        <v>0</v>
      </c>
      <c r="T358" s="61">
        <v>0</v>
      </c>
      <c r="U358" s="61">
        <v>0</v>
      </c>
      <c r="V358" s="61">
        <v>0</v>
      </c>
      <c r="W358" s="61">
        <v>0</v>
      </c>
      <c r="X358" s="61">
        <v>0</v>
      </c>
      <c r="Y358" s="61">
        <v>0</v>
      </c>
      <c r="AA358" s="16"/>
      <c r="AB358" s="20"/>
      <c r="AD358" s="16"/>
      <c r="AE358" s="20"/>
    </row>
    <row r="359" spans="1:31" ht="18" customHeight="1" collapsed="1" x14ac:dyDescent="0.2">
      <c r="A359" s="30" t="s">
        <v>292</v>
      </c>
      <c r="B359" s="30" t="s">
        <v>17</v>
      </c>
      <c r="C359" s="4">
        <v>0</v>
      </c>
      <c r="D359" s="4">
        <v>0</v>
      </c>
      <c r="F359" s="107" t="s">
        <v>362</v>
      </c>
      <c r="H359" s="79">
        <v>0</v>
      </c>
      <c r="I359" s="79">
        <v>0</v>
      </c>
      <c r="J359" s="79">
        <v>0</v>
      </c>
      <c r="K359" s="89"/>
      <c r="L359" s="89"/>
      <c r="M359" s="79">
        <v>0</v>
      </c>
      <c r="N359" s="79">
        <v>0</v>
      </c>
      <c r="O359" s="79">
        <v>0</v>
      </c>
      <c r="P359" s="79">
        <v>0</v>
      </c>
      <c r="Q359" s="79">
        <v>0</v>
      </c>
      <c r="R359" s="79">
        <v>0</v>
      </c>
      <c r="S359" s="79">
        <v>0</v>
      </c>
      <c r="T359" s="79">
        <v>0</v>
      </c>
      <c r="U359" s="79">
        <v>0</v>
      </c>
      <c r="V359" s="79">
        <v>0</v>
      </c>
      <c r="W359" s="79">
        <v>0</v>
      </c>
      <c r="X359" s="79">
        <v>0</v>
      </c>
      <c r="Y359" s="79">
        <v>0</v>
      </c>
      <c r="AA359" s="16"/>
      <c r="AB359" s="20"/>
      <c r="AD359" s="16"/>
      <c r="AE359" s="20"/>
    </row>
    <row r="360" spans="1:31" ht="15" x14ac:dyDescent="0.2">
      <c r="A360" s="4"/>
      <c r="B360" s="4"/>
      <c r="C360" s="4"/>
      <c r="D360" s="4"/>
      <c r="F360" s="96"/>
      <c r="H360" s="16"/>
      <c r="I360" s="16"/>
      <c r="J360" s="16"/>
      <c r="K360" s="85"/>
      <c r="L360" s="85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AA360" s="16"/>
      <c r="AB360" s="20"/>
      <c r="AD360" s="16"/>
      <c r="AE360" s="20"/>
    </row>
    <row r="361" spans="1:31" ht="18" hidden="1" customHeight="1" outlineLevel="1" x14ac:dyDescent="0.2">
      <c r="A361" s="30" t="s">
        <v>112</v>
      </c>
      <c r="B361" s="30" t="s">
        <v>17</v>
      </c>
      <c r="C361" s="4">
        <v>0</v>
      </c>
      <c r="D361" s="4">
        <v>0</v>
      </c>
      <c r="F361" s="50" t="s">
        <v>113</v>
      </c>
      <c r="H361" s="60">
        <v>0</v>
      </c>
      <c r="I361" s="60">
        <v>0</v>
      </c>
      <c r="J361" s="60">
        <v>0</v>
      </c>
      <c r="K361" s="90">
        <v>0</v>
      </c>
      <c r="L361" s="90">
        <v>0</v>
      </c>
      <c r="M361" s="60">
        <v>0</v>
      </c>
      <c r="N361" s="60">
        <v>0</v>
      </c>
      <c r="O361" s="60">
        <v>0</v>
      </c>
      <c r="P361" s="60">
        <v>0</v>
      </c>
      <c r="Q361" s="60">
        <v>0</v>
      </c>
      <c r="R361" s="60">
        <v>0</v>
      </c>
      <c r="S361" s="60">
        <v>0</v>
      </c>
      <c r="T361" s="60">
        <v>0</v>
      </c>
      <c r="U361" s="60">
        <v>0</v>
      </c>
      <c r="V361" s="60">
        <v>0</v>
      </c>
      <c r="W361" s="60">
        <v>0</v>
      </c>
      <c r="X361" s="60">
        <v>0</v>
      </c>
      <c r="Y361" s="60">
        <v>0</v>
      </c>
      <c r="AA361" s="60">
        <v>0</v>
      </c>
      <c r="AB361" s="60">
        <v>0</v>
      </c>
      <c r="AD361" s="60">
        <v>0</v>
      </c>
      <c r="AE361" s="60">
        <v>0</v>
      </c>
    </row>
    <row r="362" spans="1:31" ht="12.95" hidden="1" customHeight="1" outlineLevel="1" x14ac:dyDescent="0.2">
      <c r="A362" s="35"/>
      <c r="B362" s="35"/>
      <c r="C362" s="4"/>
      <c r="D362" s="4"/>
      <c r="F362" s="51" t="s">
        <v>114</v>
      </c>
      <c r="H362" s="80">
        <v>0</v>
      </c>
      <c r="I362" s="80">
        <v>0</v>
      </c>
      <c r="J362" s="80">
        <v>0</v>
      </c>
      <c r="K362" s="91">
        <v>0</v>
      </c>
      <c r="L362" s="91">
        <v>0</v>
      </c>
      <c r="M362" s="80">
        <v>0</v>
      </c>
      <c r="N362" s="80">
        <v>0</v>
      </c>
      <c r="O362" s="80">
        <v>0</v>
      </c>
      <c r="P362" s="80">
        <v>0</v>
      </c>
      <c r="Q362" s="80">
        <v>0</v>
      </c>
      <c r="R362" s="80">
        <v>0</v>
      </c>
      <c r="S362" s="80">
        <v>0</v>
      </c>
      <c r="T362" s="80">
        <v>0</v>
      </c>
      <c r="U362" s="80">
        <v>0</v>
      </c>
      <c r="V362" s="80">
        <v>0</v>
      </c>
      <c r="W362" s="80">
        <v>0</v>
      </c>
      <c r="X362" s="80">
        <v>0</v>
      </c>
      <c r="Y362" s="80">
        <v>0</v>
      </c>
      <c r="AA362" s="80">
        <v>0</v>
      </c>
      <c r="AB362" s="69"/>
      <c r="AD362" s="80">
        <v>0</v>
      </c>
      <c r="AE362" s="69"/>
    </row>
    <row r="363" spans="1:31" ht="18" hidden="1" customHeight="1" outlineLevel="1" x14ac:dyDescent="0.2">
      <c r="A363" s="33" t="s">
        <v>100</v>
      </c>
      <c r="B363" s="33" t="s">
        <v>17</v>
      </c>
      <c r="C363" s="4"/>
      <c r="D363" s="4"/>
      <c r="F363" s="38" t="s">
        <v>103</v>
      </c>
      <c r="H363" s="66">
        <v>0</v>
      </c>
      <c r="I363" s="66">
        <v>0</v>
      </c>
      <c r="J363" s="66">
        <v>0</v>
      </c>
      <c r="K363" s="86">
        <v>0</v>
      </c>
      <c r="L363" s="86">
        <v>0</v>
      </c>
      <c r="M363" s="66">
        <v>0</v>
      </c>
      <c r="N363" s="66">
        <v>0</v>
      </c>
      <c r="O363" s="66">
        <v>0</v>
      </c>
      <c r="P363" s="66">
        <v>0</v>
      </c>
      <c r="Q363" s="66">
        <v>0</v>
      </c>
      <c r="R363" s="66">
        <v>0</v>
      </c>
      <c r="S363" s="66">
        <v>0</v>
      </c>
      <c r="T363" s="66">
        <v>0</v>
      </c>
      <c r="U363" s="66">
        <v>0</v>
      </c>
      <c r="V363" s="66">
        <v>0</v>
      </c>
      <c r="W363" s="66">
        <v>0</v>
      </c>
      <c r="X363" s="66">
        <v>0</v>
      </c>
      <c r="Y363" s="66">
        <v>0</v>
      </c>
      <c r="AA363" s="66">
        <v>0</v>
      </c>
      <c r="AB363" s="60">
        <v>0</v>
      </c>
      <c r="AD363" s="66">
        <v>0</v>
      </c>
      <c r="AE363" s="60">
        <v>0</v>
      </c>
    </row>
    <row r="364" spans="1:31" ht="18" hidden="1" customHeight="1" outlineLevel="1" x14ac:dyDescent="0.2">
      <c r="A364" s="33" t="s">
        <v>101</v>
      </c>
      <c r="B364" s="33" t="s">
        <v>102</v>
      </c>
      <c r="C364" s="4"/>
      <c r="D364" s="4"/>
      <c r="F364" s="38" t="s">
        <v>104</v>
      </c>
      <c r="H364" s="66">
        <v>0</v>
      </c>
      <c r="I364" s="66">
        <v>0</v>
      </c>
      <c r="J364" s="66">
        <v>0</v>
      </c>
      <c r="K364" s="86">
        <v>0</v>
      </c>
      <c r="L364" s="86">
        <v>0</v>
      </c>
      <c r="M364" s="66">
        <v>0</v>
      </c>
      <c r="N364" s="66">
        <v>0</v>
      </c>
      <c r="O364" s="66">
        <v>0</v>
      </c>
      <c r="P364" s="66">
        <v>0</v>
      </c>
      <c r="Q364" s="66">
        <v>0</v>
      </c>
      <c r="R364" s="66">
        <v>0</v>
      </c>
      <c r="S364" s="66">
        <v>0</v>
      </c>
      <c r="T364" s="66">
        <v>0</v>
      </c>
      <c r="U364" s="66">
        <v>0</v>
      </c>
      <c r="V364" s="66">
        <v>0</v>
      </c>
      <c r="W364" s="66">
        <v>0</v>
      </c>
      <c r="X364" s="66">
        <v>0</v>
      </c>
      <c r="Y364" s="66">
        <v>0</v>
      </c>
      <c r="AA364" s="66">
        <v>0</v>
      </c>
      <c r="AB364" s="60">
        <v>0</v>
      </c>
      <c r="AD364" s="66">
        <v>0</v>
      </c>
      <c r="AE364" s="60">
        <v>0</v>
      </c>
    </row>
    <row r="365" spans="1:31" ht="18" customHeight="1" collapsed="1" x14ac:dyDescent="0.2">
      <c r="A365" s="32"/>
      <c r="B365" s="32"/>
      <c r="C365" s="4">
        <v>0</v>
      </c>
      <c r="D365" s="4">
        <v>0</v>
      </c>
      <c r="F365" s="107" t="s">
        <v>105</v>
      </c>
      <c r="G365" s="7"/>
      <c r="H365" s="58">
        <v>0</v>
      </c>
      <c r="I365" s="58">
        <v>0</v>
      </c>
      <c r="J365" s="58">
        <v>0</v>
      </c>
      <c r="K365" s="92">
        <v>0</v>
      </c>
      <c r="L365" s="92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AA365" s="58">
        <v>0</v>
      </c>
      <c r="AB365" s="60">
        <v>0</v>
      </c>
      <c r="AD365" s="58">
        <v>0</v>
      </c>
      <c r="AE365" s="60">
        <v>0</v>
      </c>
    </row>
    <row r="366" spans="1:31" ht="18" customHeight="1" x14ac:dyDescent="0.2">
      <c r="A366" s="32"/>
      <c r="B366" s="32"/>
      <c r="C366" s="4"/>
      <c r="D366" s="4"/>
      <c r="F366" s="191" t="s">
        <v>402</v>
      </c>
      <c r="G366" s="7"/>
      <c r="H366" s="194">
        <v>0</v>
      </c>
      <c r="I366" s="194">
        <v>0</v>
      </c>
      <c r="J366" s="194">
        <v>0</v>
      </c>
      <c r="K366" s="194">
        <v>0</v>
      </c>
      <c r="L366" s="194">
        <v>0</v>
      </c>
      <c r="M366" s="194">
        <v>0</v>
      </c>
      <c r="N366" s="194">
        <v>0</v>
      </c>
      <c r="O366" s="194">
        <v>0</v>
      </c>
      <c r="P366" s="194">
        <v>0</v>
      </c>
      <c r="Q366" s="194">
        <v>0</v>
      </c>
      <c r="R366" s="194">
        <v>0</v>
      </c>
      <c r="S366" s="194">
        <v>0</v>
      </c>
      <c r="T366" s="194">
        <v>0</v>
      </c>
      <c r="U366" s="194">
        <v>0</v>
      </c>
      <c r="V366" s="194">
        <v>0</v>
      </c>
      <c r="W366" s="194">
        <v>0</v>
      </c>
      <c r="X366" s="194">
        <v>0</v>
      </c>
      <c r="Y366" s="194">
        <v>0</v>
      </c>
      <c r="AA366" s="20"/>
      <c r="AB366" s="190"/>
      <c r="AD366" s="190"/>
      <c r="AE366" s="190"/>
    </row>
    <row r="367" spans="1:31" ht="18" hidden="1" customHeight="1" outlineLevel="1" x14ac:dyDescent="0.2">
      <c r="A367" s="192" t="s">
        <v>101</v>
      </c>
      <c r="B367" s="192" t="s">
        <v>403</v>
      </c>
      <c r="C367" s="4"/>
      <c r="D367" s="4"/>
      <c r="F367" s="193" t="s">
        <v>404</v>
      </c>
      <c r="G367" s="7"/>
      <c r="H367" s="66">
        <v>0</v>
      </c>
      <c r="I367" s="66">
        <v>0</v>
      </c>
      <c r="J367" s="66">
        <v>0</v>
      </c>
      <c r="K367" s="86">
        <v>0</v>
      </c>
      <c r="L367" s="86">
        <v>0</v>
      </c>
      <c r="M367" s="66">
        <v>0</v>
      </c>
      <c r="N367" s="66">
        <v>0</v>
      </c>
      <c r="O367" s="66">
        <v>0</v>
      </c>
      <c r="P367" s="66">
        <v>0</v>
      </c>
      <c r="Q367" s="66">
        <v>0</v>
      </c>
      <c r="R367" s="66">
        <v>0</v>
      </c>
      <c r="S367" s="66">
        <v>0</v>
      </c>
      <c r="T367" s="66">
        <v>0</v>
      </c>
      <c r="U367" s="66">
        <v>0</v>
      </c>
      <c r="V367" s="66">
        <v>0</v>
      </c>
      <c r="W367" s="66">
        <v>0</v>
      </c>
      <c r="X367" s="66">
        <v>0</v>
      </c>
      <c r="Y367" s="66">
        <v>0</v>
      </c>
      <c r="AA367" s="20"/>
      <c r="AB367" s="190"/>
      <c r="AD367" s="189"/>
      <c r="AE367" s="190"/>
    </row>
    <row r="368" spans="1:31" ht="18" hidden="1" customHeight="1" outlineLevel="1" x14ac:dyDescent="0.2">
      <c r="A368" s="192" t="s">
        <v>405</v>
      </c>
      <c r="B368" s="192" t="s">
        <v>17</v>
      </c>
      <c r="C368" s="4"/>
      <c r="D368" s="4"/>
      <c r="F368" s="193" t="s">
        <v>406</v>
      </c>
      <c r="G368" s="7"/>
      <c r="H368" s="66">
        <v>0</v>
      </c>
      <c r="I368" s="66">
        <v>0</v>
      </c>
      <c r="J368" s="66">
        <v>0</v>
      </c>
      <c r="K368" s="86">
        <v>0</v>
      </c>
      <c r="L368" s="86">
        <v>0</v>
      </c>
      <c r="M368" s="66">
        <v>0</v>
      </c>
      <c r="N368" s="66">
        <v>0</v>
      </c>
      <c r="O368" s="66">
        <v>0</v>
      </c>
      <c r="P368" s="66">
        <v>0</v>
      </c>
      <c r="Q368" s="66">
        <v>0</v>
      </c>
      <c r="R368" s="66">
        <v>0</v>
      </c>
      <c r="S368" s="66">
        <v>0</v>
      </c>
      <c r="T368" s="66">
        <v>0</v>
      </c>
      <c r="U368" s="66">
        <v>0</v>
      </c>
      <c r="V368" s="66">
        <v>0</v>
      </c>
      <c r="W368" s="66">
        <v>0</v>
      </c>
      <c r="X368" s="66">
        <v>0</v>
      </c>
      <c r="Y368" s="66">
        <v>0</v>
      </c>
      <c r="AA368" s="20"/>
      <c r="AB368" s="190"/>
      <c r="AD368" s="189"/>
      <c r="AE368" s="190"/>
    </row>
    <row r="369" spans="1:33" ht="18" customHeight="1" collapsed="1" x14ac:dyDescent="0.2">
      <c r="A369" s="32"/>
      <c r="B369" s="32"/>
      <c r="C369" s="4"/>
      <c r="D369" s="4"/>
      <c r="F369" s="191" t="s">
        <v>407</v>
      </c>
      <c r="G369" s="7"/>
      <c r="H369" s="194">
        <v>0</v>
      </c>
      <c r="I369" s="194">
        <v>0</v>
      </c>
      <c r="J369" s="194">
        <v>0</v>
      </c>
      <c r="K369" s="194">
        <v>0</v>
      </c>
      <c r="L369" s="194">
        <v>0</v>
      </c>
      <c r="M369" s="194">
        <v>0</v>
      </c>
      <c r="N369" s="194">
        <v>0</v>
      </c>
      <c r="O369" s="194">
        <v>0</v>
      </c>
      <c r="P369" s="194">
        <v>0</v>
      </c>
      <c r="Q369" s="194">
        <v>0</v>
      </c>
      <c r="R369" s="194">
        <v>0</v>
      </c>
      <c r="S369" s="194">
        <v>0</v>
      </c>
      <c r="T369" s="194">
        <v>0</v>
      </c>
      <c r="U369" s="194">
        <v>0</v>
      </c>
      <c r="V369" s="194">
        <v>0</v>
      </c>
      <c r="W369" s="194">
        <v>0</v>
      </c>
      <c r="X369" s="194">
        <v>0</v>
      </c>
      <c r="Y369" s="194">
        <v>0</v>
      </c>
      <c r="AA369" s="20"/>
      <c r="AB369" s="190"/>
      <c r="AD369" s="190"/>
      <c r="AE369" s="190"/>
    </row>
    <row r="370" spans="1:33" ht="18" customHeight="1" x14ac:dyDescent="0.2">
      <c r="A370" s="30" t="s">
        <v>106</v>
      </c>
      <c r="B370" s="30" t="s">
        <v>17</v>
      </c>
      <c r="C370" s="4"/>
      <c r="D370" s="4"/>
      <c r="F370" s="106" t="s">
        <v>108</v>
      </c>
      <c r="H370" s="61">
        <v>0</v>
      </c>
      <c r="I370" s="61">
        <v>0</v>
      </c>
      <c r="J370" s="61">
        <v>0</v>
      </c>
      <c r="K370" s="86"/>
      <c r="L370" s="86"/>
      <c r="M370" s="61">
        <v>0</v>
      </c>
      <c r="N370" s="61">
        <v>0</v>
      </c>
      <c r="O370" s="61">
        <v>0</v>
      </c>
      <c r="P370" s="61">
        <v>0</v>
      </c>
      <c r="Q370" s="61">
        <v>0</v>
      </c>
      <c r="R370" s="61">
        <v>0</v>
      </c>
      <c r="S370" s="61">
        <v>0</v>
      </c>
      <c r="T370" s="61">
        <v>0</v>
      </c>
      <c r="U370" s="61">
        <v>0</v>
      </c>
      <c r="V370" s="61">
        <v>0</v>
      </c>
      <c r="W370" s="61">
        <v>0</v>
      </c>
      <c r="X370" s="61">
        <v>0</v>
      </c>
      <c r="Y370" s="61">
        <v>0</v>
      </c>
      <c r="AA370" s="20"/>
      <c r="AB370" s="16"/>
      <c r="AD370" s="20"/>
      <c r="AE370" s="16"/>
    </row>
    <row r="371" spans="1:33" ht="18" customHeight="1" x14ac:dyDescent="0.2">
      <c r="A371" s="30" t="s">
        <v>107</v>
      </c>
      <c r="B371" s="30" t="s">
        <v>17</v>
      </c>
      <c r="C371" s="4"/>
      <c r="D371" s="4"/>
      <c r="F371" s="106" t="s">
        <v>109</v>
      </c>
      <c r="H371" s="61">
        <v>0</v>
      </c>
      <c r="I371" s="61">
        <v>0</v>
      </c>
      <c r="J371" s="61">
        <v>0</v>
      </c>
      <c r="K371" s="86"/>
      <c r="L371" s="86"/>
      <c r="M371" s="61">
        <v>0</v>
      </c>
      <c r="N371" s="61">
        <v>0</v>
      </c>
      <c r="O371" s="61">
        <v>0</v>
      </c>
      <c r="P371" s="61">
        <v>0</v>
      </c>
      <c r="Q371" s="61">
        <v>0</v>
      </c>
      <c r="R371" s="61">
        <v>0</v>
      </c>
      <c r="S371" s="61">
        <v>0</v>
      </c>
      <c r="T371" s="61">
        <v>0</v>
      </c>
      <c r="U371" s="61">
        <v>0</v>
      </c>
      <c r="V371" s="61">
        <v>0</v>
      </c>
      <c r="W371" s="61">
        <v>0</v>
      </c>
      <c r="X371" s="61">
        <v>0</v>
      </c>
      <c r="Y371" s="61">
        <v>0</v>
      </c>
      <c r="AA371" s="20"/>
      <c r="AB371" s="16"/>
      <c r="AD371" s="20"/>
      <c r="AE371" s="16"/>
    </row>
    <row r="372" spans="1:33" ht="18" customHeight="1" x14ac:dyDescent="0.2">
      <c r="A372" s="30"/>
      <c r="B372" s="30"/>
      <c r="C372" s="4"/>
      <c r="D372" s="4"/>
      <c r="F372" s="106" t="s">
        <v>110</v>
      </c>
      <c r="H372" s="61">
        <v>0</v>
      </c>
      <c r="I372" s="61">
        <v>0</v>
      </c>
      <c r="J372" s="61">
        <v>0</v>
      </c>
      <c r="K372" s="86"/>
      <c r="L372" s="86"/>
      <c r="M372" s="61">
        <v>0</v>
      </c>
      <c r="N372" s="61">
        <v>0</v>
      </c>
      <c r="O372" s="61">
        <v>0</v>
      </c>
      <c r="P372" s="61">
        <v>0</v>
      </c>
      <c r="Q372" s="61">
        <v>0</v>
      </c>
      <c r="R372" s="61">
        <v>0</v>
      </c>
      <c r="S372" s="61">
        <v>0</v>
      </c>
      <c r="T372" s="61">
        <v>0</v>
      </c>
      <c r="U372" s="61">
        <v>0</v>
      </c>
      <c r="V372" s="61">
        <v>0</v>
      </c>
      <c r="W372" s="61">
        <v>0</v>
      </c>
      <c r="X372" s="61">
        <v>0</v>
      </c>
      <c r="Y372" s="61">
        <v>0</v>
      </c>
      <c r="AA372" s="20"/>
      <c r="AB372" s="16"/>
      <c r="AD372" s="20"/>
      <c r="AE372" s="16"/>
    </row>
    <row r="373" spans="1:33" ht="18" customHeight="1" collapsed="1" x14ac:dyDescent="0.2">
      <c r="A373" s="32"/>
      <c r="B373" s="32"/>
      <c r="C373" s="4">
        <v>0</v>
      </c>
      <c r="D373" s="4">
        <v>0</v>
      </c>
      <c r="F373" s="107" t="s">
        <v>111</v>
      </c>
      <c r="H373" s="58">
        <v>0</v>
      </c>
      <c r="I373" s="58">
        <v>0</v>
      </c>
      <c r="J373" s="58">
        <v>0</v>
      </c>
      <c r="K373" s="92">
        <v>0</v>
      </c>
      <c r="L373" s="92">
        <v>0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AA373" s="58">
        <v>0</v>
      </c>
      <c r="AB373" s="60">
        <v>0</v>
      </c>
      <c r="AD373" s="58">
        <v>0</v>
      </c>
      <c r="AE373" s="60">
        <v>0</v>
      </c>
    </row>
    <row r="374" spans="1:33" ht="15" x14ac:dyDescent="0.2">
      <c r="A374" s="4"/>
      <c r="B374" s="4"/>
      <c r="C374" s="4"/>
      <c r="D374" s="4"/>
      <c r="F374" s="96"/>
      <c r="H374" s="16"/>
      <c r="I374" s="16"/>
      <c r="J374" s="16"/>
      <c r="K374" s="85"/>
      <c r="L374" s="85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AA374" s="16"/>
      <c r="AB374" s="8"/>
      <c r="AD374" s="16"/>
      <c r="AE374" s="8"/>
    </row>
    <row r="375" spans="1:33" ht="15" x14ac:dyDescent="0.2">
      <c r="F375" s="102" t="s">
        <v>370</v>
      </c>
      <c r="H375" s="81">
        <v>0</v>
      </c>
      <c r="I375" s="81">
        <v>20.102467310972145</v>
      </c>
      <c r="J375" s="81">
        <v>20.102467310972141</v>
      </c>
      <c r="K375" s="83">
        <v>11.794333333333334</v>
      </c>
      <c r="L375" s="83">
        <v>37.828272727272733</v>
      </c>
      <c r="M375" s="81">
        <v>17.31385542168675</v>
      </c>
      <c r="N375" s="81">
        <v>17.83313253012048</v>
      </c>
      <c r="O375" s="81">
        <v>19.420996714129256</v>
      </c>
      <c r="P375" s="81">
        <v>18.81879518072288</v>
      </c>
      <c r="Q375" s="81">
        <v>18.405662650602423</v>
      </c>
      <c r="R375" s="81">
        <v>18.766297918948506</v>
      </c>
      <c r="S375" s="81">
        <v>17.739518072289172</v>
      </c>
      <c r="T375" s="81">
        <v>18.728433734939749</v>
      </c>
      <c r="U375" s="81">
        <v>17.861084337349379</v>
      </c>
      <c r="V375" s="81">
        <v>20.67911281489598</v>
      </c>
      <c r="W375" s="81">
        <v>20.189616648411846</v>
      </c>
      <c r="X375" s="81">
        <v>43.604764512595679</v>
      </c>
      <c r="Y375" s="81">
        <v>19.78772941568646</v>
      </c>
      <c r="AA375" s="81">
        <v>11.794333333333334</v>
      </c>
      <c r="AB375" s="8"/>
      <c r="AD375" s="81">
        <v>37.828272727272733</v>
      </c>
      <c r="AE375" s="8"/>
    </row>
    <row r="376" spans="1:33" ht="15" x14ac:dyDescent="0.2">
      <c r="F376" s="102" t="s">
        <v>371</v>
      </c>
      <c r="H376" s="81">
        <v>85.559501976284565</v>
      </c>
      <c r="I376" s="81">
        <v>77.205764192139725</v>
      </c>
      <c r="J376" s="81">
        <v>77.205764192139725</v>
      </c>
      <c r="K376" s="83">
        <v>36.857291666666669</v>
      </c>
      <c r="L376" s="83">
        <v>54.195233133628562</v>
      </c>
      <c r="M376" s="81">
        <v>79.836111111111137</v>
      </c>
      <c r="N376" s="81">
        <v>75.905128205128193</v>
      </c>
      <c r="O376" s="81">
        <v>111.1684639498433</v>
      </c>
      <c r="P376" s="81">
        <v>82.208421052631579</v>
      </c>
      <c r="Q376" s="81">
        <v>80.403684210526279</v>
      </c>
      <c r="R376" s="81">
        <v>79.877062937062902</v>
      </c>
      <c r="S376" s="81">
        <v>77.493684210526354</v>
      </c>
      <c r="T376" s="81">
        <v>81.813684210526304</v>
      </c>
      <c r="U376" s="81">
        <v>78.024736842105142</v>
      </c>
      <c r="V376" s="81">
        <v>90.335071770335048</v>
      </c>
      <c r="W376" s="81">
        <v>27.698151765589817</v>
      </c>
      <c r="X376" s="81">
        <v>29.665536512667611</v>
      </c>
      <c r="Y376" s="81">
        <v>61.522435593722243</v>
      </c>
      <c r="AA376" s="81">
        <v>36.857291666666669</v>
      </c>
      <c r="AB376" s="8"/>
      <c r="AD376" s="81">
        <v>54.195233133628562</v>
      </c>
      <c r="AE376" s="8"/>
    </row>
    <row r="377" spans="1:33" s="11" customFormat="1" ht="15" x14ac:dyDescent="0.2">
      <c r="A377" s="8"/>
      <c r="B377" s="8"/>
      <c r="C377" s="8"/>
      <c r="D377" s="8"/>
      <c r="E377" s="8"/>
      <c r="F377" s="103"/>
      <c r="G377" s="8"/>
      <c r="H377" s="82"/>
      <c r="I377" s="16"/>
      <c r="J377" s="16"/>
      <c r="K377" s="84"/>
      <c r="L377" s="84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8"/>
      <c r="AA377" s="16"/>
      <c r="AB377" s="8"/>
      <c r="AC377" s="8"/>
      <c r="AD377" s="16"/>
      <c r="AE377" s="8"/>
      <c r="AF377" s="8"/>
      <c r="AG377" s="8"/>
    </row>
    <row r="378" spans="1:33" s="11" customFormat="1" ht="15" x14ac:dyDescent="0.2">
      <c r="A378" s="8"/>
      <c r="B378" s="8"/>
      <c r="C378" s="8"/>
      <c r="D378" s="8"/>
      <c r="E378" s="8"/>
      <c r="F378" s="102" t="s">
        <v>356</v>
      </c>
      <c r="G378" s="8"/>
      <c r="H378" s="81">
        <v>116.71427470626506</v>
      </c>
      <c r="I378" s="81">
        <v>129.91365443220974</v>
      </c>
      <c r="J378" s="81">
        <v>129.91365443220974</v>
      </c>
      <c r="K378" s="83">
        <v>139.67922448633524</v>
      </c>
      <c r="L378" s="83">
        <v>133.43070238470023</v>
      </c>
      <c r="M378" s="81">
        <v>10.035141435579833</v>
      </c>
      <c r="N378" s="81">
        <v>10.321757929939533</v>
      </c>
      <c r="O378" s="81">
        <v>10.365882143718535</v>
      </c>
      <c r="P378" s="81">
        <v>11.651893561081389</v>
      </c>
      <c r="Q378" s="81">
        <v>12.644773849500648</v>
      </c>
      <c r="R378" s="81">
        <v>11.532519184006347</v>
      </c>
      <c r="S378" s="81">
        <v>11.868709164753659</v>
      </c>
      <c r="T378" s="81">
        <v>10.942706792069281</v>
      </c>
      <c r="U378" s="81">
        <v>11.617576297215694</v>
      </c>
      <c r="V378" s="81">
        <v>11.314455008810896</v>
      </c>
      <c r="W378" s="81">
        <v>11.758375232552396</v>
      </c>
      <c r="X378" s="81">
        <v>11.085935305393939</v>
      </c>
      <c r="Y378" s="81">
        <v>135.18902332443923</v>
      </c>
      <c r="Z378" s="8"/>
      <c r="AA378" s="81">
        <v>139.67922448633524</v>
      </c>
      <c r="AB378" s="8"/>
      <c r="AC378" s="8"/>
      <c r="AD378" s="81">
        <v>133.43070238470023</v>
      </c>
      <c r="AE378" s="8"/>
      <c r="AF378" s="8"/>
      <c r="AG378" s="8"/>
    </row>
    <row r="379" spans="1:33" ht="15" x14ac:dyDescent="0.2">
      <c r="F379" s="96"/>
      <c r="H379" s="16"/>
      <c r="I379" s="16"/>
      <c r="J379" s="16"/>
      <c r="K379" s="85"/>
      <c r="L379" s="85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AA379" s="16"/>
      <c r="AB379" s="8"/>
      <c r="AD379" s="16"/>
      <c r="AE379" s="8"/>
    </row>
    <row r="380" spans="1:33" s="11" customFormat="1" ht="15" x14ac:dyDescent="0.2">
      <c r="A380" s="8"/>
      <c r="B380" s="8"/>
      <c r="C380" s="8"/>
      <c r="D380" s="8"/>
      <c r="E380" s="8"/>
      <c r="F380" s="102" t="s">
        <v>254</v>
      </c>
      <c r="G380" s="8"/>
      <c r="H380" s="81">
        <v>7.2786586306065519</v>
      </c>
      <c r="I380" s="81">
        <v>7.958794099111266</v>
      </c>
      <c r="J380" s="81">
        <v>7.958794099111266</v>
      </c>
      <c r="K380" s="83">
        <v>6.8231680440771356</v>
      </c>
      <c r="L380" s="83">
        <v>6.1547988074032292</v>
      </c>
      <c r="M380" s="81">
        <v>6.4949315599173572</v>
      </c>
      <c r="N380" s="81">
        <v>6.5439588201856864</v>
      </c>
      <c r="O380" s="81">
        <v>6.7368792709469822</v>
      </c>
      <c r="P380" s="81">
        <v>7.0526478746049062</v>
      </c>
      <c r="Q380" s="81">
        <v>6.3085894637484596</v>
      </c>
      <c r="R380" s="81">
        <v>5.7249772070932456</v>
      </c>
      <c r="S380" s="81">
        <v>5.5588479585782853</v>
      </c>
      <c r="T380" s="81">
        <v>5.274464372273389</v>
      </c>
      <c r="U380" s="81">
        <v>5.2296981303230314</v>
      </c>
      <c r="V380" s="81">
        <v>5.9613796494266857</v>
      </c>
      <c r="W380" s="81">
        <v>6.7256277006635417</v>
      </c>
      <c r="X380" s="81">
        <v>7.1825720633415058</v>
      </c>
      <c r="Y380" s="81">
        <v>6.1834919177841066</v>
      </c>
      <c r="Z380" s="8"/>
      <c r="AA380" s="81">
        <v>6.8231680440771356</v>
      </c>
      <c r="AB380" s="8"/>
      <c r="AC380" s="8"/>
      <c r="AD380" s="81">
        <v>6.1547988074032292</v>
      </c>
      <c r="AE380" s="8"/>
      <c r="AF380" s="8"/>
      <c r="AG380" s="8"/>
    </row>
    <row r="381" spans="1:33" s="11" customFormat="1" ht="15" x14ac:dyDescent="0.2">
      <c r="A381" s="8"/>
      <c r="B381" s="8"/>
      <c r="C381" s="8"/>
      <c r="D381" s="8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8"/>
      <c r="AC381" s="20"/>
      <c r="AD381" s="20"/>
      <c r="AE381" s="8"/>
      <c r="AF381" s="8"/>
      <c r="AG381" s="8"/>
    </row>
    <row r="382" spans="1:33" s="11" customFormat="1" x14ac:dyDescent="0.2">
      <c r="A382" s="42" t="s">
        <v>30</v>
      </c>
      <c r="B382" s="42" t="s">
        <v>17</v>
      </c>
      <c r="C382" s="8"/>
      <c r="D382" s="8"/>
      <c r="E382" s="8"/>
      <c r="F382" s="43" t="s">
        <v>253</v>
      </c>
      <c r="G382" s="8"/>
      <c r="H382" s="44">
        <v>0</v>
      </c>
      <c r="I382" s="44">
        <v>0</v>
      </c>
      <c r="J382" s="44">
        <v>0</v>
      </c>
      <c r="K382" s="44">
        <v>0</v>
      </c>
      <c r="L382" s="44">
        <v>0</v>
      </c>
      <c r="M382" s="44">
        <v>0</v>
      </c>
      <c r="N382" s="44">
        <v>-1.1368683772161603E-13</v>
      </c>
      <c r="O382" s="44">
        <v>0</v>
      </c>
      <c r="P382" s="44">
        <v>-1.4210854715202004E-13</v>
      </c>
      <c r="Q382" s="44">
        <v>5.6843418860808015E-14</v>
      </c>
      <c r="R382" s="44">
        <v>3.4106051316484809E-13</v>
      </c>
      <c r="S382" s="44">
        <v>2.2737367544323206E-13</v>
      </c>
      <c r="T382" s="44">
        <v>1.1368683772161603E-13</v>
      </c>
      <c r="U382" s="44">
        <v>-1.0231815394945443E-12</v>
      </c>
      <c r="V382" s="44">
        <v>-1.1368683772161603E-13</v>
      </c>
      <c r="W382" s="44">
        <v>-5.6843418860808015E-13</v>
      </c>
      <c r="X382" s="44">
        <v>2.2737367544323206E-13</v>
      </c>
      <c r="Y382" s="44">
        <v>0</v>
      </c>
      <c r="Z382" s="8"/>
      <c r="AA382" s="8"/>
      <c r="AB382" s="8"/>
      <c r="AC382" s="8"/>
      <c r="AD382" s="8"/>
      <c r="AE382" s="8"/>
      <c r="AF382" s="8"/>
      <c r="AG382" s="8"/>
    </row>
    <row r="383" spans="1:33" s="2" customFormat="1" ht="12.75" x14ac:dyDescent="0.2">
      <c r="F383" s="1"/>
      <c r="K383" s="49"/>
      <c r="L383" s="49"/>
      <c r="AB383" s="8"/>
      <c r="AE383" s="8"/>
    </row>
    <row r="384" spans="1:33" s="11" customFormat="1" x14ac:dyDescent="0.2">
      <c r="A384" s="8"/>
      <c r="B384" s="8"/>
      <c r="C384" s="8"/>
      <c r="D384" s="8"/>
      <c r="F384" s="11" t="s">
        <v>315</v>
      </c>
      <c r="M384" s="125" t="s">
        <v>388</v>
      </c>
      <c r="N384" s="125" t="s">
        <v>364</v>
      </c>
      <c r="O384" s="125" t="s">
        <v>316</v>
      </c>
      <c r="P384" s="125" t="s">
        <v>317</v>
      </c>
      <c r="Q384" s="125" t="s">
        <v>318</v>
      </c>
      <c r="R384" s="125" t="s">
        <v>319</v>
      </c>
      <c r="S384" s="125" t="s">
        <v>365</v>
      </c>
      <c r="T384" s="125" t="s">
        <v>320</v>
      </c>
      <c r="U384" s="125" t="s">
        <v>366</v>
      </c>
      <c r="V384" s="125" t="s">
        <v>367</v>
      </c>
      <c r="W384" s="125" t="s">
        <v>368</v>
      </c>
      <c r="X384" s="125" t="s">
        <v>369</v>
      </c>
      <c r="AB384" s="8"/>
      <c r="AE384" s="8"/>
      <c r="AF384" s="8"/>
      <c r="AG384" s="8"/>
    </row>
    <row r="385" spans="1:33" s="11" customFormat="1" x14ac:dyDescent="0.2">
      <c r="A385" s="8"/>
      <c r="B385" s="8"/>
      <c r="C385" s="8"/>
      <c r="D385" s="8"/>
      <c r="M385" s="126" t="s">
        <v>5</v>
      </c>
      <c r="N385" s="126" t="s">
        <v>6</v>
      </c>
      <c r="O385" s="126" t="s">
        <v>7</v>
      </c>
      <c r="P385" s="126" t="s">
        <v>8</v>
      </c>
      <c r="Q385" s="126" t="s">
        <v>9</v>
      </c>
      <c r="R385" s="126" t="s">
        <v>10</v>
      </c>
      <c r="S385" s="126" t="s">
        <v>321</v>
      </c>
      <c r="T385" s="126" t="s">
        <v>11</v>
      </c>
      <c r="U385" s="126" t="s">
        <v>12</v>
      </c>
      <c r="V385" s="126" t="s">
        <v>13</v>
      </c>
      <c r="W385" s="126" t="s">
        <v>14</v>
      </c>
      <c r="X385" s="126" t="s">
        <v>15</v>
      </c>
      <c r="AB385" s="8"/>
      <c r="AE385" s="8"/>
      <c r="AF385" s="8"/>
      <c r="AG385" s="8"/>
    </row>
    <row r="386" spans="1:33" s="11" customFormat="1" x14ac:dyDescent="0.2">
      <c r="A386" s="8"/>
      <c r="B386" s="8"/>
      <c r="C386" s="8"/>
      <c r="D386" s="8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AB386" s="8"/>
      <c r="AE386" s="8"/>
      <c r="AF386" s="8"/>
      <c r="AG386" s="8"/>
    </row>
    <row r="387" spans="1:33" s="11" customFormat="1" x14ac:dyDescent="0.2">
      <c r="A387" s="42" t="s">
        <v>30</v>
      </c>
      <c r="B387" s="42" t="s">
        <v>17</v>
      </c>
      <c r="C387" s="8"/>
      <c r="D387" s="8"/>
      <c r="F387" s="52">
        <v>2021</v>
      </c>
      <c r="M387" s="55">
        <v>-26.496880000000001</v>
      </c>
      <c r="N387" s="55">
        <v>6.1642699999998403</v>
      </c>
      <c r="O387" s="55">
        <v>43.2939900000001</v>
      </c>
      <c r="P387" s="55">
        <v>102.776</v>
      </c>
      <c r="Q387" s="55">
        <v>213.97794999999999</v>
      </c>
      <c r="R387" s="55">
        <v>269.46138999999999</v>
      </c>
      <c r="S387" s="55">
        <v>416.26616999999999</v>
      </c>
      <c r="T387" s="55">
        <v>554.80057999999997</v>
      </c>
      <c r="U387" s="55">
        <v>600.84028999999998</v>
      </c>
      <c r="V387" s="55">
        <v>604.54500000000098</v>
      </c>
      <c r="W387" s="55">
        <v>696.47500000000002</v>
      </c>
      <c r="X387" s="55">
        <v>799.71300000000099</v>
      </c>
      <c r="AB387" s="8"/>
      <c r="AE387" s="8"/>
      <c r="AF387" s="8"/>
      <c r="AG387" s="8"/>
    </row>
    <row r="388" spans="1:33" s="11" customFormat="1" x14ac:dyDescent="0.2">
      <c r="A388" s="42" t="s">
        <v>30</v>
      </c>
      <c r="B388" s="42" t="s">
        <v>17</v>
      </c>
      <c r="C388" s="8"/>
      <c r="D388" s="8"/>
      <c r="F388" s="52">
        <v>2022</v>
      </c>
      <c r="M388" s="55">
        <v>48.658999999999999</v>
      </c>
      <c r="N388" s="55">
        <v>93.713000000000093</v>
      </c>
      <c r="O388" s="55">
        <v>123.32599999999999</v>
      </c>
      <c r="P388" s="55">
        <v>192.96100000000001</v>
      </c>
      <c r="Q388" s="55">
        <v>352.452</v>
      </c>
      <c r="R388" s="55">
        <v>358.58199999999999</v>
      </c>
      <c r="S388" s="55">
        <v>441.88200000000001</v>
      </c>
      <c r="T388" s="55">
        <v>595.56899999999996</v>
      </c>
      <c r="U388" s="55">
        <v>628.97243000000003</v>
      </c>
      <c r="V388" s="55">
        <v>686.41899999999998</v>
      </c>
      <c r="W388" s="55">
        <v>761.53099999999995</v>
      </c>
      <c r="X388" s="55">
        <v>890.29100000000005</v>
      </c>
      <c r="AB388" s="8"/>
      <c r="AE388" s="8"/>
      <c r="AF388" s="8"/>
      <c r="AG388" s="8"/>
    </row>
    <row r="389" spans="1:33" s="11" customFormat="1" x14ac:dyDescent="0.2">
      <c r="A389" s="42" t="s">
        <v>30</v>
      </c>
      <c r="B389" s="42" t="s">
        <v>17</v>
      </c>
      <c r="C389" s="8"/>
      <c r="D389" s="8"/>
      <c r="F389" s="124" t="s">
        <v>489</v>
      </c>
      <c r="L389" s="54">
        <v>1103.7534799999999</v>
      </c>
      <c r="M389" s="55">
        <v>91.97945666666665</v>
      </c>
      <c r="N389" s="55">
        <v>183.9589133333333</v>
      </c>
      <c r="O389" s="55">
        <v>275.93836999999996</v>
      </c>
      <c r="P389" s="55">
        <v>367.9178266666666</v>
      </c>
      <c r="Q389" s="55">
        <v>459.89728333333323</v>
      </c>
      <c r="R389" s="55">
        <v>551.87673999999993</v>
      </c>
      <c r="S389" s="55">
        <v>643.85619666666662</v>
      </c>
      <c r="T389" s="55">
        <v>735.8356533333332</v>
      </c>
      <c r="U389" s="55">
        <v>827.81510999999989</v>
      </c>
      <c r="V389" s="55">
        <v>919.79456666666647</v>
      </c>
      <c r="W389" s="55">
        <v>1011.7740233333333</v>
      </c>
      <c r="X389" s="55">
        <v>1103.7534799999999</v>
      </c>
      <c r="AB389" s="8"/>
      <c r="AE389" s="8"/>
      <c r="AF389" s="8"/>
      <c r="AG389" s="8"/>
    </row>
    <row r="390" spans="1:33" s="11" customFormat="1" x14ac:dyDescent="0.2">
      <c r="A390" s="42" t="s">
        <v>30</v>
      </c>
      <c r="B390" s="42" t="s">
        <v>17</v>
      </c>
      <c r="C390" s="8"/>
      <c r="D390" s="8"/>
      <c r="F390" s="52" t="s">
        <v>450</v>
      </c>
      <c r="M390" s="55">
        <v>49.564</v>
      </c>
      <c r="N390" s="55">
        <v>80.795999999999907</v>
      </c>
      <c r="O390" s="55">
        <v>128.01499999999999</v>
      </c>
      <c r="P390" s="55">
        <v>250.19</v>
      </c>
      <c r="Q390" s="55">
        <v>439.09</v>
      </c>
      <c r="R390" s="55">
        <v>490.62799999999999</v>
      </c>
      <c r="S390" s="55">
        <v>650.10799999999995</v>
      </c>
      <c r="T390" s="55">
        <v>797</v>
      </c>
      <c r="U390" s="55">
        <v>839.46499999999901</v>
      </c>
      <c r="V390" s="55">
        <v>906.40099999999995</v>
      </c>
      <c r="W390" s="55">
        <v>972.171999999999</v>
      </c>
      <c r="X390" s="55">
        <v>1067.5319999999999</v>
      </c>
      <c r="AB390" s="8"/>
      <c r="AE390" s="8"/>
      <c r="AF390" s="8"/>
      <c r="AG390" s="8"/>
    </row>
    <row r="391" spans="1:33" s="11" customFormat="1" x14ac:dyDescent="0.2">
      <c r="A391" s="8"/>
      <c r="B391" s="8"/>
      <c r="C391" s="8"/>
      <c r="D391" s="8"/>
      <c r="F391" s="11" t="s">
        <v>490</v>
      </c>
      <c r="L391" s="54">
        <v>1103.7534799999999</v>
      </c>
      <c r="M391" s="55" t="s">
        <v>481</v>
      </c>
      <c r="N391" s="55" t="s">
        <v>481</v>
      </c>
      <c r="O391" s="55" t="s">
        <v>481</v>
      </c>
      <c r="P391" s="55" t="s">
        <v>481</v>
      </c>
      <c r="Q391" s="55" t="s">
        <v>481</v>
      </c>
      <c r="R391" s="55" t="s">
        <v>481</v>
      </c>
      <c r="S391" s="55" t="s">
        <v>481</v>
      </c>
      <c r="T391" s="55" t="s">
        <v>481</v>
      </c>
      <c r="U391" s="55" t="s">
        <v>481</v>
      </c>
      <c r="V391" s="55" t="s">
        <v>481</v>
      </c>
      <c r="W391" s="55" t="s">
        <v>481</v>
      </c>
      <c r="X391" s="55">
        <v>1067.5319999999999</v>
      </c>
      <c r="AB391" s="8"/>
      <c r="AE391" s="8"/>
      <c r="AF391" s="8"/>
      <c r="AG391" s="8"/>
    </row>
    <row r="392" spans="1:33" s="2" customFormat="1" ht="12.75" x14ac:dyDescent="0.2">
      <c r="F392" s="1"/>
      <c r="K392" s="49"/>
      <c r="L392" s="49"/>
      <c r="AB392" s="8"/>
      <c r="AE392" s="8"/>
    </row>
    <row r="393" spans="1:33" s="2" customFormat="1" ht="12.75" x14ac:dyDescent="0.2">
      <c r="F393" s="1"/>
      <c r="K393" s="49"/>
      <c r="L393" s="49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AB393" s="8"/>
      <c r="AE393" s="8"/>
    </row>
    <row r="394" spans="1:33" s="2" customFormat="1" ht="12.75" x14ac:dyDescent="0.2">
      <c r="F394" s="1"/>
      <c r="K394" s="49"/>
      <c r="L394" s="49"/>
      <c r="AB394" s="8"/>
      <c r="AE394" s="8"/>
    </row>
    <row r="395" spans="1:33" s="2" customFormat="1" ht="12.75" x14ac:dyDescent="0.2">
      <c r="F395" s="1"/>
      <c r="K395" s="49"/>
      <c r="L395" s="49"/>
      <c r="AB395" s="8"/>
      <c r="AE395" s="8"/>
    </row>
    <row r="396" spans="1:33" s="2" customFormat="1" ht="12.75" x14ac:dyDescent="0.2">
      <c r="F396" s="1"/>
      <c r="K396" s="49"/>
      <c r="L396" s="49"/>
      <c r="R396" s="93"/>
      <c r="S396" s="93"/>
      <c r="T396" s="93"/>
      <c r="AB396" s="8"/>
      <c r="AE396" s="8"/>
    </row>
    <row r="397" spans="1:33" s="2" customFormat="1" ht="12.75" x14ac:dyDescent="0.2">
      <c r="F397" s="1"/>
      <c r="K397" s="49"/>
      <c r="L397" s="49"/>
      <c r="AB397" s="8"/>
      <c r="AE397" s="8"/>
    </row>
    <row r="398" spans="1:33" s="2" customFormat="1" ht="12.75" x14ac:dyDescent="0.2">
      <c r="F398" s="1"/>
      <c r="K398" s="49"/>
      <c r="L398" s="49"/>
      <c r="AB398" s="8"/>
      <c r="AE398" s="8"/>
    </row>
    <row r="399" spans="1:33" s="2" customFormat="1" ht="12.75" x14ac:dyDescent="0.2">
      <c r="F399" s="1"/>
      <c r="K399" s="49"/>
      <c r="L399" s="49"/>
      <c r="AB399" s="8"/>
      <c r="AE399" s="8"/>
    </row>
    <row r="400" spans="1:33" s="2" customFormat="1" ht="12.75" x14ac:dyDescent="0.2">
      <c r="F400" s="1"/>
      <c r="K400" s="49"/>
      <c r="L400" s="49"/>
      <c r="AB400" s="8"/>
      <c r="AE400" s="8"/>
    </row>
    <row r="401" spans="6:31" s="2" customFormat="1" ht="12.75" x14ac:dyDescent="0.2">
      <c r="F401" s="1"/>
      <c r="K401" s="49"/>
      <c r="L401" s="49"/>
      <c r="AB401" s="8"/>
      <c r="AE401" s="8"/>
    </row>
    <row r="402" spans="6:31" s="2" customFormat="1" ht="12.75" x14ac:dyDescent="0.2">
      <c r="F402" s="1"/>
      <c r="K402" s="49"/>
      <c r="L402" s="49"/>
      <c r="AB402" s="8"/>
      <c r="AE402" s="8"/>
    </row>
    <row r="403" spans="6:31" s="2" customFormat="1" x14ac:dyDescent="0.2">
      <c r="F403" s="1"/>
      <c r="K403" s="49"/>
      <c r="L403" s="49"/>
      <c r="AB403" s="8"/>
      <c r="AE403" s="3"/>
    </row>
    <row r="404" spans="6:31" s="2" customFormat="1" x14ac:dyDescent="0.2">
      <c r="F404" s="1"/>
      <c r="K404" s="49"/>
      <c r="L404" s="49"/>
      <c r="AB404" s="3"/>
      <c r="AE404" s="3"/>
    </row>
    <row r="405" spans="6:31" s="2" customFormat="1" x14ac:dyDescent="0.2">
      <c r="F405" s="1"/>
      <c r="K405" s="49"/>
      <c r="L405" s="49"/>
      <c r="AB405" s="3"/>
      <c r="AE405" s="3"/>
    </row>
    <row r="406" spans="6:31" s="2" customFormat="1" x14ac:dyDescent="0.2">
      <c r="F406" s="1"/>
      <c r="K406" s="49"/>
      <c r="L406" s="49"/>
      <c r="AB406" s="3"/>
      <c r="AE406" s="3"/>
    </row>
    <row r="407" spans="6:31" s="2" customFormat="1" x14ac:dyDescent="0.2">
      <c r="F407" s="1"/>
      <c r="K407" s="49"/>
      <c r="L407" s="49"/>
      <c r="AB407" s="3"/>
      <c r="AE407" s="3"/>
    </row>
    <row r="408" spans="6:31" s="2" customFormat="1" x14ac:dyDescent="0.2">
      <c r="F408" s="1"/>
      <c r="K408" s="49"/>
      <c r="L408" s="49"/>
      <c r="AB408" s="3"/>
      <c r="AE408" s="3"/>
    </row>
    <row r="409" spans="6:31" s="2" customFormat="1" x14ac:dyDescent="0.2">
      <c r="F409" s="1"/>
      <c r="K409" s="49"/>
      <c r="L409" s="49"/>
      <c r="AB409" s="3"/>
      <c r="AE409" s="3"/>
    </row>
    <row r="410" spans="6:31" s="2" customFormat="1" x14ac:dyDescent="0.2">
      <c r="F410" s="1"/>
      <c r="K410" s="49"/>
      <c r="L410" s="49"/>
      <c r="AB410" s="3"/>
      <c r="AE410" s="3"/>
    </row>
    <row r="411" spans="6:31" s="2" customFormat="1" x14ac:dyDescent="0.2">
      <c r="F411" s="1"/>
      <c r="K411" s="49"/>
      <c r="L411" s="49"/>
      <c r="AB411" s="3"/>
      <c r="AE411" s="3"/>
    </row>
    <row r="412" spans="6:31" s="2" customFormat="1" x14ac:dyDescent="0.2">
      <c r="F412" s="1"/>
      <c r="K412" s="49"/>
      <c r="L412" s="49"/>
      <c r="AB412" s="3"/>
      <c r="AE412" s="3"/>
    </row>
    <row r="413" spans="6:31" s="2" customFormat="1" x14ac:dyDescent="0.2">
      <c r="F413" s="1"/>
      <c r="K413" s="49"/>
      <c r="L413" s="49"/>
      <c r="AB413" s="3"/>
      <c r="AE413" s="3"/>
    </row>
    <row r="414" spans="6:31" s="2" customFormat="1" x14ac:dyDescent="0.2">
      <c r="F414" s="1"/>
      <c r="K414" s="49"/>
      <c r="L414" s="49"/>
      <c r="AB414" s="3"/>
      <c r="AE414" s="3"/>
    </row>
    <row r="415" spans="6:31" s="2" customFormat="1" x14ac:dyDescent="0.2">
      <c r="F415" s="1"/>
      <c r="K415" s="49"/>
      <c r="L415" s="49"/>
      <c r="AB415" s="3"/>
      <c r="AE415" s="3"/>
    </row>
    <row r="416" spans="6:31" s="2" customFormat="1" x14ac:dyDescent="0.2">
      <c r="F416" s="1"/>
      <c r="K416" s="49"/>
      <c r="L416" s="49"/>
      <c r="AB416" s="3"/>
      <c r="AE416" s="3"/>
    </row>
    <row r="417" spans="6:31" s="2" customFormat="1" x14ac:dyDescent="0.2">
      <c r="F417" s="1"/>
      <c r="K417" s="49"/>
      <c r="L417" s="49"/>
      <c r="AB417" s="3"/>
      <c r="AE417" s="3"/>
    </row>
    <row r="418" spans="6:31" s="2" customFormat="1" x14ac:dyDescent="0.2">
      <c r="F418" s="1"/>
      <c r="K418" s="49"/>
      <c r="L418" s="49"/>
      <c r="AB418" s="3"/>
      <c r="AE418" s="3"/>
    </row>
    <row r="419" spans="6:31" s="2" customFormat="1" x14ac:dyDescent="0.2">
      <c r="F419" s="1"/>
      <c r="K419" s="49"/>
      <c r="L419" s="49"/>
      <c r="AB419" s="3"/>
      <c r="AE419" s="3"/>
    </row>
    <row r="420" spans="6:31" s="2" customFormat="1" x14ac:dyDescent="0.2">
      <c r="F420" s="1"/>
      <c r="K420" s="49"/>
      <c r="L420" s="49"/>
      <c r="AB420" s="3"/>
      <c r="AE420" s="3"/>
    </row>
    <row r="421" spans="6:31" s="2" customFormat="1" x14ac:dyDescent="0.2">
      <c r="F421" s="1"/>
      <c r="K421" s="49"/>
      <c r="L421" s="49"/>
      <c r="AB421" s="3"/>
      <c r="AE421" s="3"/>
    </row>
    <row r="422" spans="6:31" s="2" customFormat="1" x14ac:dyDescent="0.2">
      <c r="F422" s="1"/>
      <c r="K422" s="49"/>
      <c r="L422" s="49"/>
      <c r="AB422" s="3"/>
      <c r="AE422" s="3"/>
    </row>
    <row r="423" spans="6:31" s="2" customFormat="1" x14ac:dyDescent="0.2">
      <c r="F423" s="1"/>
      <c r="K423" s="49"/>
      <c r="L423" s="49"/>
      <c r="AB423" s="3"/>
      <c r="AE423" s="3"/>
    </row>
    <row r="424" spans="6:31" s="2" customFormat="1" x14ac:dyDescent="0.2">
      <c r="F424" s="1"/>
      <c r="K424" s="49"/>
      <c r="L424" s="49"/>
      <c r="AB424" s="3"/>
      <c r="AE424" s="3"/>
    </row>
    <row r="425" spans="6:31" s="2" customFormat="1" x14ac:dyDescent="0.2">
      <c r="F425" s="1"/>
      <c r="K425" s="49"/>
      <c r="L425" s="49"/>
      <c r="AB425" s="3"/>
      <c r="AE425" s="3"/>
    </row>
    <row r="426" spans="6:31" s="2" customFormat="1" x14ac:dyDescent="0.2">
      <c r="F426" s="1"/>
      <c r="K426" s="49"/>
      <c r="L426" s="49"/>
      <c r="AB426" s="3"/>
      <c r="AE426" s="3"/>
    </row>
    <row r="427" spans="6:31" s="2" customFormat="1" x14ac:dyDescent="0.2">
      <c r="F427" s="1"/>
      <c r="K427" s="49"/>
      <c r="L427" s="49"/>
      <c r="AB427" s="3"/>
      <c r="AE427" s="3"/>
    </row>
    <row r="428" spans="6:31" s="2" customFormat="1" x14ac:dyDescent="0.2">
      <c r="F428" s="1"/>
      <c r="K428" s="49"/>
      <c r="L428" s="49"/>
      <c r="AB428" s="3"/>
      <c r="AE428" s="3"/>
    </row>
    <row r="429" spans="6:31" s="2" customFormat="1" x14ac:dyDescent="0.2">
      <c r="F429" s="1"/>
      <c r="K429" s="49"/>
      <c r="L429" s="49"/>
      <c r="AB429" s="3"/>
      <c r="AE429" s="3"/>
    </row>
    <row r="430" spans="6:31" s="2" customFormat="1" x14ac:dyDescent="0.2">
      <c r="F430" s="1"/>
      <c r="K430" s="49"/>
      <c r="L430" s="49"/>
      <c r="AB430" s="3"/>
      <c r="AE430" s="3"/>
    </row>
    <row r="431" spans="6:31" s="2" customFormat="1" x14ac:dyDescent="0.2">
      <c r="F431" s="1"/>
      <c r="K431" s="49"/>
      <c r="L431" s="49"/>
      <c r="AB431" s="3"/>
      <c r="AE431" s="3"/>
    </row>
    <row r="432" spans="6:31" s="2" customFormat="1" x14ac:dyDescent="0.2">
      <c r="F432" s="1"/>
      <c r="K432" s="49"/>
      <c r="L432" s="49"/>
      <c r="AB432" s="3"/>
      <c r="AE432" s="3"/>
    </row>
    <row r="433" spans="6:31" s="2" customFormat="1" x14ac:dyDescent="0.2">
      <c r="F433" s="1"/>
      <c r="K433" s="49"/>
      <c r="L433" s="49"/>
      <c r="AB433" s="3"/>
      <c r="AE433" s="3"/>
    </row>
    <row r="434" spans="6:31" s="2" customFormat="1" x14ac:dyDescent="0.2">
      <c r="F434" s="1"/>
      <c r="K434" s="49"/>
      <c r="L434" s="49"/>
      <c r="AB434" s="3"/>
      <c r="AE434" s="3"/>
    </row>
    <row r="435" spans="6:31" s="2" customFormat="1" x14ac:dyDescent="0.2">
      <c r="F435" s="1"/>
      <c r="K435" s="49"/>
      <c r="L435" s="49"/>
      <c r="AB435" s="3"/>
      <c r="AE435" s="3"/>
    </row>
  </sheetData>
  <mergeCells count="5">
    <mergeCell ref="F9:F10"/>
    <mergeCell ref="AD9:AD10"/>
    <mergeCell ref="AE9:AE10"/>
    <mergeCell ref="AA9:AA10"/>
    <mergeCell ref="AB9:AB10"/>
  </mergeCells>
  <conditionalFormatting sqref="AC299:AC347 AC381 AC384:AC391 AE1:AE299 AE301 AE303:AE1048576">
    <cfRule type="expression" dxfId="329" priority="55" stopIfTrue="1">
      <formula>($D1&gt;0)</formula>
    </cfRule>
    <cfRule type="expression" dxfId="328" priority="56" stopIfTrue="1">
      <formula>AND($D1&lt;0,$D1&gt;=$AE$2)</formula>
    </cfRule>
    <cfRule type="expression" dxfId="327" priority="57" stopIfTrue="1">
      <formula>($D1&lt;$AE$2)</formula>
    </cfRule>
  </conditionalFormatting>
  <conditionalFormatting sqref="AB1:AB1048576">
    <cfRule type="expression" dxfId="326" priority="49" stopIfTrue="1">
      <formula>($C1&gt;0)</formula>
    </cfRule>
    <cfRule type="expression" dxfId="325" priority="50" stopIfTrue="1">
      <formula>AND($C1&lt;0,$C1&gt;=$AB$2)</formula>
    </cfRule>
    <cfRule type="expression" dxfId="324" priority="51" stopIfTrue="1">
      <formula>($C1&lt;$AB$2)</formula>
    </cfRule>
  </conditionalFormatting>
  <conditionalFormatting sqref="AB9:AB10">
    <cfRule type="expression" dxfId="323" priority="46" stopIfTrue="1">
      <formula>($C9&gt;0)</formula>
    </cfRule>
    <cfRule type="expression" dxfId="322" priority="47" stopIfTrue="1">
      <formula>AND($C9&lt;0,$C9&gt;=$AB$2)</formula>
    </cfRule>
    <cfRule type="expression" dxfId="321" priority="48" stopIfTrue="1">
      <formula>($C9&lt;$AB$2)</formula>
    </cfRule>
  </conditionalFormatting>
  <conditionalFormatting sqref="AE9:AE10">
    <cfRule type="expression" dxfId="320" priority="43" stopIfTrue="1">
      <formula>($D9&gt;0)</formula>
    </cfRule>
    <cfRule type="expression" dxfId="319" priority="44" stopIfTrue="1">
      <formula>AND($D9&lt;0,$D9&gt;=$AE$2)</formula>
    </cfRule>
    <cfRule type="expression" dxfId="318" priority="45" stopIfTrue="1">
      <formula>($D9&lt;$AE$2)</formula>
    </cfRule>
  </conditionalFormatting>
  <conditionalFormatting sqref="AD366">
    <cfRule type="expression" dxfId="317" priority="40" stopIfTrue="1">
      <formula>($D366&gt;0)</formula>
    </cfRule>
    <cfRule type="expression" dxfId="316" priority="41" stopIfTrue="1">
      <formula>AND($D366&lt;0,$D366&gt;=$AE$2)</formula>
    </cfRule>
    <cfRule type="expression" dxfId="315" priority="42" stopIfTrue="1">
      <formula>($D366&lt;$AE$2)</formula>
    </cfRule>
  </conditionalFormatting>
  <conditionalFormatting sqref="AD369">
    <cfRule type="expression" dxfId="314" priority="37" stopIfTrue="1">
      <formula>($D369&gt;0)</formula>
    </cfRule>
    <cfRule type="expression" dxfId="313" priority="38" stopIfTrue="1">
      <formula>AND($D369&lt;0,$D369&gt;=$AE$2)</formula>
    </cfRule>
    <cfRule type="expression" dxfId="312" priority="39" stopIfTrue="1">
      <formula>($D369&lt;$AE$2)</formula>
    </cfRule>
  </conditionalFormatting>
  <conditionalFormatting sqref="AE140">
    <cfRule type="expression" dxfId="311" priority="34" stopIfTrue="1">
      <formula>($D140&gt;0)</formula>
    </cfRule>
    <cfRule type="expression" dxfId="310" priority="35" stopIfTrue="1">
      <formula>AND($D140&lt;0,$D140&gt;=$AE$2)</formula>
    </cfRule>
    <cfRule type="expression" dxfId="309" priority="36" stopIfTrue="1">
      <formula>($D140&lt;$AE$2)</formula>
    </cfRule>
  </conditionalFormatting>
  <conditionalFormatting sqref="AB140">
    <cfRule type="expression" dxfId="308" priority="31" stopIfTrue="1">
      <formula>($C140&gt;0)</formula>
    </cfRule>
    <cfRule type="expression" dxfId="307" priority="32" stopIfTrue="1">
      <formula>AND($C140&lt;0,$C140&gt;=$AB$2)</formula>
    </cfRule>
    <cfRule type="expression" dxfId="306" priority="33" stopIfTrue="1">
      <formula>($C140&lt;$AB$2)</formula>
    </cfRule>
  </conditionalFormatting>
  <conditionalFormatting sqref="AE140">
    <cfRule type="expression" dxfId="305" priority="28" stopIfTrue="1">
      <formula>($D140&gt;0)</formula>
    </cfRule>
    <cfRule type="expression" dxfId="304" priority="29" stopIfTrue="1">
      <formula>AND($D140&lt;0,$D140&gt;=$AE$2)</formula>
    </cfRule>
    <cfRule type="expression" dxfId="303" priority="30" stopIfTrue="1">
      <formula>($D140&lt;$AE$2)</formula>
    </cfRule>
  </conditionalFormatting>
  <conditionalFormatting sqref="AB140">
    <cfRule type="expression" dxfId="302" priority="25" stopIfTrue="1">
      <formula>($C140&gt;0)</formula>
    </cfRule>
    <cfRule type="expression" dxfId="301" priority="26" stopIfTrue="1">
      <formula>AND($C140&lt;0,$C140&gt;=$AB$2)</formula>
    </cfRule>
    <cfRule type="expression" dxfId="300" priority="27" stopIfTrue="1">
      <formula>($C140&lt;$AB$2)</formula>
    </cfRule>
  </conditionalFormatting>
  <conditionalFormatting sqref="AE140">
    <cfRule type="expression" dxfId="299" priority="22" stopIfTrue="1">
      <formula>($D140&gt;0)</formula>
    </cfRule>
    <cfRule type="expression" dxfId="298" priority="23" stopIfTrue="1">
      <formula>AND($D140&lt;0,$D140&gt;=$AE$2)</formula>
    </cfRule>
    <cfRule type="expression" dxfId="297" priority="24" stopIfTrue="1">
      <formula>($D140&lt;$AE$2)</formula>
    </cfRule>
  </conditionalFormatting>
  <conditionalFormatting sqref="AB140">
    <cfRule type="expression" dxfId="296" priority="19" stopIfTrue="1">
      <formula>($C140&gt;0)</formula>
    </cfRule>
    <cfRule type="expression" dxfId="295" priority="20" stopIfTrue="1">
      <formula>AND($C140&lt;0,$C140&gt;=$AB$2)</formula>
    </cfRule>
    <cfRule type="expression" dxfId="294" priority="21" stopIfTrue="1">
      <formula>($C140&lt;$AB$2)</formula>
    </cfRule>
  </conditionalFormatting>
  <conditionalFormatting sqref="AB230">
    <cfRule type="expression" dxfId="293" priority="16" stopIfTrue="1">
      <formula>($C230&gt;0)</formula>
    </cfRule>
    <cfRule type="expression" dxfId="292" priority="17" stopIfTrue="1">
      <formula>AND($C230&lt;0,$C230&gt;=$AB$2)</formula>
    </cfRule>
    <cfRule type="expression" dxfId="291" priority="18" stopIfTrue="1">
      <formula>($C230&lt;$AB$2)</formula>
    </cfRule>
  </conditionalFormatting>
  <conditionalFormatting sqref="AE230">
    <cfRule type="expression" dxfId="290" priority="13" stopIfTrue="1">
      <formula>($D230&gt;0)</formula>
    </cfRule>
    <cfRule type="expression" dxfId="289" priority="14" stopIfTrue="1">
      <formula>AND($D230&lt;0,$D230&gt;=$AE$2)</formula>
    </cfRule>
    <cfRule type="expression" dxfId="288" priority="15" stopIfTrue="1">
      <formula>($D230&lt;$AE$2)</formula>
    </cfRule>
  </conditionalFormatting>
  <conditionalFormatting sqref="AB230">
    <cfRule type="expression" dxfId="287" priority="10" stopIfTrue="1">
      <formula>($C230&gt;0)</formula>
    </cfRule>
    <cfRule type="expression" dxfId="286" priority="11" stopIfTrue="1">
      <formula>AND($C230&lt;0,$C230&gt;=$AB$2)</formula>
    </cfRule>
    <cfRule type="expression" dxfId="285" priority="12" stopIfTrue="1">
      <formula>($C230&lt;$AB$2)</formula>
    </cfRule>
  </conditionalFormatting>
  <conditionalFormatting sqref="AE230">
    <cfRule type="expression" dxfId="284" priority="7" stopIfTrue="1">
      <formula>($D230&gt;0)</formula>
    </cfRule>
    <cfRule type="expression" dxfId="283" priority="8" stopIfTrue="1">
      <formula>AND($D230&lt;0,$D230&gt;=$AE$2)</formula>
    </cfRule>
    <cfRule type="expression" dxfId="282" priority="9" stopIfTrue="1">
      <formula>($D230&lt;$AE$2)</formula>
    </cfRule>
  </conditionalFormatting>
  <conditionalFormatting sqref="AE300">
    <cfRule type="expression" dxfId="281" priority="4" stopIfTrue="1">
      <formula>($D300&gt;0)</formula>
    </cfRule>
    <cfRule type="expression" dxfId="280" priority="5" stopIfTrue="1">
      <formula>AND($D300&lt;0,$D300&gt;=$AE$2)</formula>
    </cfRule>
    <cfRule type="expression" dxfId="279" priority="6" stopIfTrue="1">
      <formula>($D300&lt;$AE$2)</formula>
    </cfRule>
  </conditionalFormatting>
  <conditionalFormatting sqref="AE302">
    <cfRule type="expression" dxfId="278" priority="1" stopIfTrue="1">
      <formula>($D302&gt;0)</formula>
    </cfRule>
    <cfRule type="expression" dxfId="277" priority="2" stopIfTrue="1">
      <formula>AND($D302&lt;0,$D302&gt;=$AE$2)</formula>
    </cfRule>
    <cfRule type="expression" dxfId="276" priority="3" stopIfTrue="1">
      <formula>($D302&lt;$AE$2)</formula>
    </cfRule>
  </conditionalFormatting>
  <printOptions horizontalCentered="1"/>
  <pageMargins left="0" right="0" top="0" bottom="0" header="0.11811023622047245" footer="7.874015748031496E-2"/>
  <pageSetup paperSize="9" scale="44" fitToHeight="2" orientation="portrait" r:id="rId1"/>
  <headerFooter alignWithMargins="0">
    <oddHeader>&amp;CFICHE SUIVEUSE&amp;R&amp;D - &amp;T</oddHeader>
  </headerFooter>
  <rowBreaks count="1" manualBreakCount="1">
    <brk id="201" min="5" max="2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AM435"/>
  <sheetViews>
    <sheetView showGridLines="0" topLeftCell="E7" zoomScale="70" zoomScaleNormal="70" zoomScaleSheetLayoutView="75" workbookViewId="0">
      <pane ySplit="9" topLeftCell="A16" activePane="bottomLeft" state="frozen"/>
      <selection activeCell="W25" sqref="W25"/>
      <selection pane="bottomLeft" activeCell="X16" sqref="X16"/>
    </sheetView>
  </sheetViews>
  <sheetFormatPr baseColWidth="10" defaultRowHeight="14.25" outlineLevelRow="2" outlineLevelCol="1" x14ac:dyDescent="0.2"/>
  <cols>
    <col min="1" max="1" width="24.85546875" style="8" hidden="1" customWidth="1" outlineLevel="1"/>
    <col min="2" max="2" width="30.42578125" style="8" hidden="1" customWidth="1" outlineLevel="1"/>
    <col min="3" max="4" width="12.5703125" style="8" hidden="1" customWidth="1" outlineLevel="1"/>
    <col min="5" max="5" width="2.7109375" style="8" customWidth="1" collapsed="1"/>
    <col min="6" max="6" width="35.28515625" style="7" customWidth="1"/>
    <col min="7" max="7" width="1.140625" style="8" customWidth="1"/>
    <col min="8" max="8" width="13.140625" style="8" bestFit="1" customWidth="1"/>
    <col min="9" max="10" width="10.140625" style="8" customWidth="1"/>
    <col min="11" max="11" width="10.7109375" style="9" customWidth="1" outlineLevel="1"/>
    <col min="12" max="12" width="10.5703125" style="9" customWidth="1"/>
    <col min="13" max="16" width="10.7109375" style="8" bestFit="1" customWidth="1"/>
    <col min="17" max="19" width="8.7109375" style="8" customWidth="1"/>
    <col min="20" max="20" width="13.140625" style="8" bestFit="1" customWidth="1"/>
    <col min="21" max="21" width="12" style="8" bestFit="1" customWidth="1"/>
    <col min="22" max="22" width="10.7109375" style="8" bestFit="1" customWidth="1"/>
    <col min="23" max="24" width="8.7109375" style="8" customWidth="1"/>
    <col min="25" max="25" width="10.7109375" style="8" bestFit="1" customWidth="1"/>
    <col min="26" max="26" width="1.140625" style="8" customWidth="1"/>
    <col min="27" max="27" width="12.140625" style="8" customWidth="1"/>
    <col min="28" max="28" width="8.7109375" style="11" customWidth="1"/>
    <col min="29" max="29" width="1.140625" style="8" customWidth="1"/>
    <col min="30" max="30" width="10.140625" style="8" customWidth="1" outlineLevel="1"/>
    <col min="31" max="31" width="13.140625" style="11" customWidth="1" outlineLevel="1"/>
    <col min="32" max="16384" width="11.42578125" style="8"/>
  </cols>
  <sheetData>
    <row r="1" spans="1:31" ht="14.25" hidden="1" customHeight="1" outlineLevel="1" x14ac:dyDescent="0.2">
      <c r="A1" s="7" t="s">
        <v>3</v>
      </c>
      <c r="B1" s="7"/>
      <c r="I1" s="10" t="s">
        <v>15</v>
      </c>
      <c r="M1" s="10" t="s">
        <v>5</v>
      </c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321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15</v>
      </c>
      <c r="AB1" s="53"/>
      <c r="AE1" s="53"/>
    </row>
    <row r="2" spans="1:31" ht="12.75" hidden="1" customHeight="1" outlineLevel="1" x14ac:dyDescent="0.2">
      <c r="A2" s="7" t="s">
        <v>4</v>
      </c>
      <c r="B2" s="7"/>
      <c r="H2" s="12" t="s">
        <v>27</v>
      </c>
      <c r="I2" s="12" t="s">
        <v>28</v>
      </c>
      <c r="J2" s="12" t="s">
        <v>29</v>
      </c>
      <c r="K2" s="13" t="s">
        <v>32</v>
      </c>
      <c r="L2" s="13" t="s">
        <v>33</v>
      </c>
      <c r="M2" s="14" t="b">
        <v>1</v>
      </c>
      <c r="N2" s="14" t="b">
        <v>1</v>
      </c>
      <c r="O2" s="14" t="b">
        <v>1</v>
      </c>
      <c r="P2" s="14" t="b">
        <v>1</v>
      </c>
      <c r="Q2" s="14" t="b">
        <v>1</v>
      </c>
      <c r="R2" s="14" t="b">
        <v>1</v>
      </c>
      <c r="S2" s="14" t="b">
        <v>1</v>
      </c>
      <c r="T2" s="14" t="b">
        <v>1</v>
      </c>
      <c r="U2" s="14" t="b">
        <v>1</v>
      </c>
      <c r="V2" s="14" t="b">
        <v>1</v>
      </c>
      <c r="W2" s="14" t="b">
        <v>1</v>
      </c>
      <c r="X2" s="14" t="b">
        <v>1</v>
      </c>
      <c r="Y2" s="12" t="s">
        <v>33</v>
      </c>
      <c r="AA2" s="128"/>
      <c r="AB2" s="129">
        <v>-0.15</v>
      </c>
      <c r="AD2" s="128"/>
      <c r="AE2" s="129">
        <v>-0.15</v>
      </c>
    </row>
    <row r="3" spans="1:31" ht="14.25" hidden="1" customHeight="1" outlineLevel="1" x14ac:dyDescent="0.15">
      <c r="A3" s="7" t="s">
        <v>415</v>
      </c>
      <c r="B3" s="7"/>
      <c r="H3" s="127" t="s">
        <v>459</v>
      </c>
      <c r="I3" s="127" t="s">
        <v>459</v>
      </c>
      <c r="J3" s="127" t="s">
        <v>459</v>
      </c>
      <c r="K3" s="130" t="s">
        <v>460</v>
      </c>
      <c r="L3" s="130" t="s">
        <v>461</v>
      </c>
      <c r="M3" s="127" t="s">
        <v>459</v>
      </c>
      <c r="N3" s="127" t="s">
        <v>459</v>
      </c>
      <c r="O3" s="127" t="s">
        <v>459</v>
      </c>
      <c r="P3" s="127" t="s">
        <v>459</v>
      </c>
      <c r="Q3" s="127" t="s">
        <v>459</v>
      </c>
      <c r="R3" s="127" t="s">
        <v>459</v>
      </c>
      <c r="S3" s="127" t="s">
        <v>459</v>
      </c>
      <c r="T3" s="127" t="s">
        <v>459</v>
      </c>
      <c r="U3" s="127" t="s">
        <v>459</v>
      </c>
      <c r="V3" s="127" t="s">
        <v>459</v>
      </c>
      <c r="W3" s="127" t="s">
        <v>459</v>
      </c>
      <c r="X3" s="127" t="s">
        <v>459</v>
      </c>
      <c r="Y3" s="127" t="s">
        <v>459</v>
      </c>
      <c r="AB3" s="53"/>
      <c r="AE3" s="53"/>
    </row>
    <row r="4" spans="1:31" ht="14.25" hidden="1" customHeight="1" outlineLevel="1" x14ac:dyDescent="0.15">
      <c r="A4" s="15" t="s">
        <v>462</v>
      </c>
      <c r="B4" s="7"/>
      <c r="H4" s="127" t="s">
        <v>463</v>
      </c>
      <c r="I4" s="127" t="s">
        <v>463</v>
      </c>
      <c r="J4" s="127" t="s">
        <v>463</v>
      </c>
      <c r="K4" s="130" t="s">
        <v>464</v>
      </c>
      <c r="L4" s="130" t="s">
        <v>465</v>
      </c>
      <c r="M4" s="127" t="s">
        <v>463</v>
      </c>
      <c r="N4" s="127" t="s">
        <v>463</v>
      </c>
      <c r="O4" s="127" t="s">
        <v>463</v>
      </c>
      <c r="P4" s="127" t="s">
        <v>463</v>
      </c>
      <c r="Q4" s="127" t="s">
        <v>463</v>
      </c>
      <c r="R4" s="127" t="s">
        <v>463</v>
      </c>
      <c r="S4" s="127" t="s">
        <v>463</v>
      </c>
      <c r="T4" s="127" t="s">
        <v>463</v>
      </c>
      <c r="U4" s="127" t="s">
        <v>463</v>
      </c>
      <c r="V4" s="127" t="s">
        <v>463</v>
      </c>
      <c r="W4" s="127" t="s">
        <v>463</v>
      </c>
      <c r="X4" s="127" t="s">
        <v>463</v>
      </c>
      <c r="Y4" s="127" t="s">
        <v>463</v>
      </c>
      <c r="AA4" s="128"/>
      <c r="AB4" s="131"/>
      <c r="AD4" s="128"/>
      <c r="AE4" s="131"/>
    </row>
    <row r="5" spans="1:31" ht="14.25" hidden="1" customHeight="1" outlineLevel="1" x14ac:dyDescent="0.15">
      <c r="B5" s="7"/>
      <c r="H5" s="127" t="s">
        <v>466</v>
      </c>
      <c r="I5" s="127" t="s">
        <v>467</v>
      </c>
      <c r="J5" s="127" t="s">
        <v>467</v>
      </c>
      <c r="K5" s="130" t="s">
        <v>468</v>
      </c>
      <c r="L5" s="130" t="s">
        <v>469</v>
      </c>
      <c r="M5" s="127" t="s">
        <v>468</v>
      </c>
      <c r="N5" s="127" t="s">
        <v>470</v>
      </c>
      <c r="O5" s="127" t="s">
        <v>471</v>
      </c>
      <c r="P5" s="127" t="s">
        <v>472</v>
      </c>
      <c r="Q5" s="127" t="s">
        <v>473</v>
      </c>
      <c r="R5" s="127" t="s">
        <v>474</v>
      </c>
      <c r="S5" s="127" t="s">
        <v>475</v>
      </c>
      <c r="T5" s="127" t="s">
        <v>476</v>
      </c>
      <c r="U5" s="127" t="s">
        <v>477</v>
      </c>
      <c r="V5" s="127" t="s">
        <v>478</v>
      </c>
      <c r="W5" s="127" t="s">
        <v>479</v>
      </c>
      <c r="X5" s="127" t="s">
        <v>480</v>
      </c>
      <c r="Y5" s="127" t="s">
        <v>480</v>
      </c>
      <c r="AA5" s="128"/>
      <c r="AB5" s="131"/>
      <c r="AD5" s="128"/>
      <c r="AE5" s="131"/>
    </row>
    <row r="6" spans="1:31" ht="14.25" hidden="1" customHeight="1" outlineLevel="1" x14ac:dyDescent="0.2">
      <c r="G6" s="7"/>
      <c r="I6" s="9" t="s">
        <v>491</v>
      </c>
      <c r="J6" s="9" t="s">
        <v>491</v>
      </c>
      <c r="K6" s="9" t="s">
        <v>491</v>
      </c>
      <c r="L6" s="9" t="s">
        <v>491</v>
      </c>
      <c r="AB6" s="53"/>
      <c r="AE6" s="53"/>
    </row>
    <row r="7" spans="1:31" s="16" customFormat="1" ht="15.75" collapsed="1" x14ac:dyDescent="0.2">
      <c r="F7" s="6" t="s">
        <v>386</v>
      </c>
      <c r="K7" s="18"/>
      <c r="L7" s="18"/>
      <c r="M7" s="19"/>
      <c r="AB7" s="20"/>
      <c r="AE7" s="20"/>
    </row>
    <row r="8" spans="1:31" s="21" customFormat="1" ht="7.5" customHeight="1" x14ac:dyDescent="0.2">
      <c r="F8" s="138"/>
      <c r="G8" s="16"/>
      <c r="J8" s="24"/>
      <c r="K8" s="23"/>
      <c r="L8" s="23"/>
      <c r="Z8" s="16"/>
      <c r="AA8" s="24"/>
      <c r="AB8" s="22"/>
      <c r="AD8" s="24"/>
      <c r="AE8" s="22"/>
    </row>
    <row r="9" spans="1:31" ht="12.75" customHeight="1" x14ac:dyDescent="0.2">
      <c r="F9" s="301" t="s">
        <v>424</v>
      </c>
      <c r="G9" s="16"/>
      <c r="H9" s="135" t="s">
        <v>1</v>
      </c>
      <c r="I9" s="26" t="s">
        <v>1</v>
      </c>
      <c r="J9" s="26" t="s">
        <v>1</v>
      </c>
      <c r="K9" s="136" t="s">
        <v>380</v>
      </c>
      <c r="L9" s="136" t="s">
        <v>449</v>
      </c>
      <c r="M9" s="27" t="s">
        <v>1</v>
      </c>
      <c r="N9" s="27" t="s">
        <v>1</v>
      </c>
      <c r="O9" s="27" t="s">
        <v>1</v>
      </c>
      <c r="P9" s="27" t="s">
        <v>1</v>
      </c>
      <c r="Q9" s="27" t="s">
        <v>1</v>
      </c>
      <c r="R9" s="27" t="s">
        <v>1</v>
      </c>
      <c r="S9" s="27" t="s">
        <v>1</v>
      </c>
      <c r="T9" s="27" t="s">
        <v>1</v>
      </c>
      <c r="U9" s="27" t="s">
        <v>1</v>
      </c>
      <c r="V9" s="27" t="s">
        <v>1</v>
      </c>
      <c r="W9" s="27" t="s">
        <v>1</v>
      </c>
      <c r="X9" s="27" t="s">
        <v>1</v>
      </c>
      <c r="Y9" s="139" t="s">
        <v>1</v>
      </c>
      <c r="Z9" s="16"/>
      <c r="AA9" s="296" t="s">
        <v>482</v>
      </c>
      <c r="AB9" s="298" t="s">
        <v>483</v>
      </c>
      <c r="AC9" s="25"/>
      <c r="AD9" s="296" t="s">
        <v>484</v>
      </c>
      <c r="AE9" s="298" t="s">
        <v>485</v>
      </c>
    </row>
    <row r="10" spans="1:31" ht="12.75" customHeight="1" x14ac:dyDescent="0.2">
      <c r="F10" s="302"/>
      <c r="G10" s="16"/>
      <c r="H10" s="28" t="s">
        <v>486</v>
      </c>
      <c r="I10" s="28" t="s">
        <v>487</v>
      </c>
      <c r="J10" s="28" t="s">
        <v>487</v>
      </c>
      <c r="K10" s="137" t="s">
        <v>450</v>
      </c>
      <c r="L10" s="137" t="s">
        <v>450</v>
      </c>
      <c r="M10" s="29" t="s">
        <v>5</v>
      </c>
      <c r="N10" s="29" t="s">
        <v>6</v>
      </c>
      <c r="O10" s="29" t="s">
        <v>7</v>
      </c>
      <c r="P10" s="29" t="s">
        <v>8</v>
      </c>
      <c r="Q10" s="29" t="s">
        <v>9</v>
      </c>
      <c r="R10" s="29" t="s">
        <v>10</v>
      </c>
      <c r="S10" s="29" t="s">
        <v>321</v>
      </c>
      <c r="T10" s="29" t="s">
        <v>11</v>
      </c>
      <c r="U10" s="29" t="s">
        <v>12</v>
      </c>
      <c r="V10" s="29" t="s">
        <v>13</v>
      </c>
      <c r="W10" s="29" t="s">
        <v>14</v>
      </c>
      <c r="X10" s="29" t="s">
        <v>15</v>
      </c>
      <c r="Y10" s="140" t="s">
        <v>488</v>
      </c>
      <c r="Z10" s="16"/>
      <c r="AA10" s="297"/>
      <c r="AB10" s="299"/>
      <c r="AC10" s="25"/>
      <c r="AD10" s="297"/>
      <c r="AE10" s="299"/>
    </row>
    <row r="11" spans="1:31" ht="18" hidden="1" customHeight="1" outlineLevel="1" x14ac:dyDescent="0.2">
      <c r="A11" s="30" t="s">
        <v>2</v>
      </c>
      <c r="B11" s="30" t="s">
        <v>230</v>
      </c>
      <c r="C11" s="4">
        <v>0</v>
      </c>
      <c r="D11" s="4">
        <v>0</v>
      </c>
      <c r="F11" s="94" t="s">
        <v>280</v>
      </c>
      <c r="G11" s="16"/>
      <c r="H11" s="59">
        <v>-0.57199999999999995</v>
      </c>
      <c r="I11" s="59">
        <v>0</v>
      </c>
      <c r="J11" s="59">
        <v>0</v>
      </c>
      <c r="K11" s="86">
        <v>0</v>
      </c>
      <c r="L11" s="86">
        <v>0</v>
      </c>
      <c r="M11" s="59">
        <v>0</v>
      </c>
      <c r="N11" s="59">
        <v>0</v>
      </c>
      <c r="O11" s="59">
        <v>0</v>
      </c>
      <c r="P11" s="59">
        <v>0</v>
      </c>
      <c r="Q11" s="59">
        <v>0</v>
      </c>
      <c r="R11" s="59">
        <v>0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16"/>
      <c r="AA11" s="59">
        <v>0</v>
      </c>
      <c r="AB11" s="60">
        <v>0</v>
      </c>
      <c r="AC11" s="31"/>
      <c r="AD11" s="59">
        <v>0</v>
      </c>
      <c r="AE11" s="60">
        <v>0</v>
      </c>
    </row>
    <row r="12" spans="1:31" ht="18" hidden="1" customHeight="1" outlineLevel="1" x14ac:dyDescent="0.2">
      <c r="A12" s="30" t="s">
        <v>2</v>
      </c>
      <c r="B12" s="30" t="s">
        <v>233</v>
      </c>
      <c r="C12" s="4">
        <v>0</v>
      </c>
      <c r="D12" s="4">
        <v>0</v>
      </c>
      <c r="F12" s="94" t="s">
        <v>281</v>
      </c>
      <c r="G12" s="16"/>
      <c r="H12" s="59">
        <v>0</v>
      </c>
      <c r="I12" s="59">
        <v>0</v>
      </c>
      <c r="J12" s="59">
        <v>0</v>
      </c>
      <c r="K12" s="86">
        <v>0</v>
      </c>
      <c r="L12" s="86">
        <v>0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16"/>
      <c r="AA12" s="59">
        <v>0</v>
      </c>
      <c r="AB12" s="60">
        <v>0</v>
      </c>
      <c r="AC12" s="31"/>
      <c r="AD12" s="59">
        <v>0</v>
      </c>
      <c r="AE12" s="60">
        <v>0</v>
      </c>
    </row>
    <row r="13" spans="1:31" ht="18" hidden="1" customHeight="1" outlineLevel="1" x14ac:dyDescent="0.2">
      <c r="A13" s="30" t="s">
        <v>2</v>
      </c>
      <c r="B13" s="30" t="s">
        <v>229</v>
      </c>
      <c r="C13" s="4">
        <v>0</v>
      </c>
      <c r="D13" s="4">
        <v>0</v>
      </c>
      <c r="F13" s="94" t="s">
        <v>282</v>
      </c>
      <c r="G13" s="16"/>
      <c r="H13" s="59">
        <v>0</v>
      </c>
      <c r="I13" s="59">
        <v>0</v>
      </c>
      <c r="J13" s="59">
        <v>0</v>
      </c>
      <c r="K13" s="86">
        <v>0</v>
      </c>
      <c r="L13" s="86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16"/>
      <c r="AA13" s="59">
        <v>0</v>
      </c>
      <c r="AB13" s="60">
        <v>0</v>
      </c>
      <c r="AC13" s="31"/>
      <c r="AD13" s="59">
        <v>0</v>
      </c>
      <c r="AE13" s="60">
        <v>0</v>
      </c>
    </row>
    <row r="14" spans="1:31" ht="18" hidden="1" customHeight="1" outlineLevel="1" x14ac:dyDescent="0.2">
      <c r="A14" s="30" t="s">
        <v>2</v>
      </c>
      <c r="B14" s="30" t="s">
        <v>232</v>
      </c>
      <c r="C14" s="4">
        <v>0</v>
      </c>
      <c r="D14" s="4">
        <v>0</v>
      </c>
      <c r="F14" s="94" t="s">
        <v>283</v>
      </c>
      <c r="G14" s="16"/>
      <c r="H14" s="59">
        <v>0.57199999999999995</v>
      </c>
      <c r="I14" s="59">
        <v>0</v>
      </c>
      <c r="J14" s="59">
        <v>0</v>
      </c>
      <c r="K14" s="86">
        <v>0</v>
      </c>
      <c r="L14" s="86">
        <v>0</v>
      </c>
      <c r="M14" s="59">
        <v>0</v>
      </c>
      <c r="N14" s="59">
        <v>0</v>
      </c>
      <c r="O14" s="59">
        <v>0</v>
      </c>
      <c r="P14" s="59">
        <v>0</v>
      </c>
      <c r="Q14" s="59">
        <v>0</v>
      </c>
      <c r="R14" s="59">
        <v>0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16"/>
      <c r="AA14" s="59">
        <v>0</v>
      </c>
      <c r="AB14" s="60">
        <v>0</v>
      </c>
      <c r="AC14" s="31"/>
      <c r="AD14" s="59">
        <v>0</v>
      </c>
      <c r="AE14" s="60">
        <v>0</v>
      </c>
    </row>
    <row r="15" spans="1:31" ht="18" hidden="1" customHeight="1" outlineLevel="1" x14ac:dyDescent="0.2">
      <c r="A15" s="30" t="s">
        <v>2</v>
      </c>
      <c r="B15" s="30" t="s">
        <v>231</v>
      </c>
      <c r="C15" s="4">
        <v>0</v>
      </c>
      <c r="D15" s="4">
        <v>0</v>
      </c>
      <c r="F15" s="94" t="s">
        <v>284</v>
      </c>
      <c r="G15" s="16"/>
      <c r="H15" s="59">
        <v>0</v>
      </c>
      <c r="I15" s="59">
        <v>0</v>
      </c>
      <c r="J15" s="59">
        <v>0</v>
      </c>
      <c r="K15" s="86">
        <v>0</v>
      </c>
      <c r="L15" s="86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16"/>
      <c r="AA15" s="59">
        <v>0</v>
      </c>
      <c r="AB15" s="60">
        <v>0</v>
      </c>
      <c r="AC15" s="31"/>
      <c r="AD15" s="59">
        <v>0</v>
      </c>
      <c r="AE15" s="60">
        <v>0</v>
      </c>
    </row>
    <row r="16" spans="1:31" ht="18" customHeight="1" collapsed="1" x14ac:dyDescent="0.2">
      <c r="A16" s="30" t="s">
        <v>2</v>
      </c>
      <c r="B16" s="30" t="s">
        <v>203</v>
      </c>
      <c r="C16" s="4">
        <v>0</v>
      </c>
      <c r="D16" s="4">
        <v>0</v>
      </c>
      <c r="E16" s="9"/>
      <c r="F16" s="51" t="s">
        <v>285</v>
      </c>
      <c r="G16" s="16"/>
      <c r="H16" s="61">
        <v>0</v>
      </c>
      <c r="I16" s="61">
        <v>0</v>
      </c>
      <c r="J16" s="61">
        <v>0</v>
      </c>
      <c r="K16" s="86">
        <v>0</v>
      </c>
      <c r="L16" s="86">
        <v>0</v>
      </c>
      <c r="M16" s="61">
        <v>0</v>
      </c>
      <c r="N16" s="61">
        <v>0</v>
      </c>
      <c r="O16" s="61">
        <v>0</v>
      </c>
      <c r="P16" s="61">
        <v>0</v>
      </c>
      <c r="Q16" s="61">
        <v>0</v>
      </c>
      <c r="R16" s="61">
        <v>0</v>
      </c>
      <c r="S16" s="61">
        <v>0</v>
      </c>
      <c r="T16" s="61">
        <v>0</v>
      </c>
      <c r="U16" s="61">
        <v>0</v>
      </c>
      <c r="V16" s="61">
        <v>0</v>
      </c>
      <c r="W16" s="61">
        <v>0</v>
      </c>
      <c r="X16" s="61">
        <v>0</v>
      </c>
      <c r="Y16" s="61">
        <v>0</v>
      </c>
      <c r="Z16" s="16"/>
      <c r="AA16" s="61">
        <v>0</v>
      </c>
      <c r="AB16" s="60">
        <v>0</v>
      </c>
      <c r="AD16" s="61">
        <v>0</v>
      </c>
      <c r="AE16" s="60">
        <v>0</v>
      </c>
    </row>
    <row r="17" spans="1:33" ht="18" customHeight="1" x14ac:dyDescent="0.2">
      <c r="A17" s="30" t="s">
        <v>2</v>
      </c>
      <c r="B17" s="30" t="s">
        <v>31</v>
      </c>
      <c r="C17" s="4">
        <v>0</v>
      </c>
      <c r="D17" s="4">
        <v>0</v>
      </c>
      <c r="F17" s="51" t="s">
        <v>286</v>
      </c>
      <c r="G17" s="16"/>
      <c r="H17" s="61">
        <v>0</v>
      </c>
      <c r="I17" s="61">
        <v>0</v>
      </c>
      <c r="J17" s="61">
        <v>0</v>
      </c>
      <c r="K17" s="86">
        <v>0</v>
      </c>
      <c r="L17" s="86">
        <v>0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61">
        <v>0</v>
      </c>
      <c r="W17" s="61">
        <v>0</v>
      </c>
      <c r="X17" s="61">
        <v>0</v>
      </c>
      <c r="Y17" s="61">
        <v>0</v>
      </c>
      <c r="Z17" s="16"/>
      <c r="AA17" s="61">
        <v>0</v>
      </c>
      <c r="AB17" s="60">
        <v>0</v>
      </c>
      <c r="AD17" s="61">
        <v>0</v>
      </c>
      <c r="AE17" s="60">
        <v>0</v>
      </c>
    </row>
    <row r="18" spans="1:33" s="7" customFormat="1" ht="18" customHeight="1" x14ac:dyDescent="0.2">
      <c r="A18" s="32"/>
      <c r="B18" s="32"/>
      <c r="C18" s="4">
        <v>0</v>
      </c>
      <c r="D18" s="4">
        <v>0</v>
      </c>
      <c r="E18" s="8"/>
      <c r="F18" s="45" t="s">
        <v>217</v>
      </c>
      <c r="G18" s="16"/>
      <c r="H18" s="62">
        <v>0</v>
      </c>
      <c r="I18" s="62">
        <v>0</v>
      </c>
      <c r="J18" s="62">
        <v>0</v>
      </c>
      <c r="K18" s="108">
        <v>0</v>
      </c>
      <c r="L18" s="108">
        <v>0</v>
      </c>
      <c r="M18" s="62">
        <v>0</v>
      </c>
      <c r="N18" s="62">
        <v>0</v>
      </c>
      <c r="O18" s="62">
        <v>0</v>
      </c>
      <c r="P18" s="62">
        <v>0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2">
        <v>0</v>
      </c>
      <c r="X18" s="62">
        <v>0</v>
      </c>
      <c r="Y18" s="62">
        <v>0</v>
      </c>
      <c r="Z18" s="16"/>
      <c r="AA18" s="62">
        <v>0</v>
      </c>
      <c r="AB18" s="60">
        <v>0</v>
      </c>
      <c r="AD18" s="62">
        <v>0</v>
      </c>
      <c r="AE18" s="60">
        <v>0</v>
      </c>
    </row>
    <row r="19" spans="1:33" ht="8.25" customHeight="1" x14ac:dyDescent="0.2">
      <c r="A19" s="116"/>
      <c r="F19" s="8"/>
      <c r="G19" s="16"/>
      <c r="K19" s="8"/>
      <c r="L19" s="8"/>
      <c r="Z19" s="16"/>
      <c r="AB19" s="8"/>
      <c r="AE19" s="8"/>
    </row>
    <row r="20" spans="1:33" s="7" customFormat="1" ht="18" customHeight="1" x14ac:dyDescent="0.2">
      <c r="A20" s="117" t="s">
        <v>310</v>
      </c>
      <c r="B20" s="117" t="s">
        <v>203</v>
      </c>
      <c r="C20" s="5">
        <v>0</v>
      </c>
      <c r="D20" s="5">
        <v>0</v>
      </c>
      <c r="F20" s="118" t="s">
        <v>326</v>
      </c>
      <c r="G20" s="16"/>
      <c r="H20" s="120">
        <v>0</v>
      </c>
      <c r="I20" s="120">
        <v>-2.121</v>
      </c>
      <c r="J20" s="120">
        <v>-2.121</v>
      </c>
      <c r="K20" s="121">
        <v>0</v>
      </c>
      <c r="L20" s="121">
        <v>0</v>
      </c>
      <c r="M20" s="120">
        <v>0</v>
      </c>
      <c r="N20" s="120">
        <v>0</v>
      </c>
      <c r="O20" s="120">
        <v>0</v>
      </c>
      <c r="P20" s="120">
        <v>0</v>
      </c>
      <c r="Q20" s="120">
        <v>0</v>
      </c>
      <c r="R20" s="120">
        <v>0</v>
      </c>
      <c r="S20" s="120">
        <v>0</v>
      </c>
      <c r="T20" s="120">
        <v>0</v>
      </c>
      <c r="U20" s="120">
        <v>0</v>
      </c>
      <c r="V20" s="120">
        <v>0</v>
      </c>
      <c r="W20" s="120">
        <v>0</v>
      </c>
      <c r="X20" s="120">
        <v>0</v>
      </c>
      <c r="Y20" s="120">
        <v>0</v>
      </c>
      <c r="Z20" s="16"/>
      <c r="AA20" s="120">
        <v>0</v>
      </c>
      <c r="AB20" s="60">
        <v>0</v>
      </c>
      <c r="AD20" s="120">
        <v>0</v>
      </c>
      <c r="AE20" s="60">
        <v>0</v>
      </c>
    </row>
    <row r="21" spans="1:33" ht="8.25" customHeight="1" x14ac:dyDescent="0.2">
      <c r="A21" s="116"/>
      <c r="F21" s="8"/>
      <c r="G21" s="16"/>
      <c r="K21" s="8"/>
      <c r="L21" s="8"/>
      <c r="Z21" s="16"/>
      <c r="AB21" s="8"/>
      <c r="AE21" s="8"/>
    </row>
    <row r="22" spans="1:33" ht="18" customHeight="1" x14ac:dyDescent="0.2">
      <c r="A22" s="30" t="s">
        <v>310</v>
      </c>
      <c r="B22" s="30" t="s">
        <v>115</v>
      </c>
      <c r="C22" s="4">
        <v>0</v>
      </c>
      <c r="D22" s="4">
        <v>0</v>
      </c>
      <c r="F22" s="51" t="s">
        <v>327</v>
      </c>
      <c r="G22" s="16"/>
      <c r="H22" s="61">
        <v>0</v>
      </c>
      <c r="I22" s="61">
        <v>0</v>
      </c>
      <c r="J22" s="61">
        <v>0</v>
      </c>
      <c r="K22" s="86">
        <v>0</v>
      </c>
      <c r="L22" s="86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16"/>
      <c r="AA22" s="61">
        <v>0</v>
      </c>
      <c r="AB22" s="60">
        <v>0</v>
      </c>
      <c r="AC22" s="34"/>
      <c r="AD22" s="61">
        <v>0</v>
      </c>
      <c r="AE22" s="60">
        <v>0</v>
      </c>
    </row>
    <row r="23" spans="1:33" ht="18" customHeight="1" x14ac:dyDescent="0.2">
      <c r="A23" s="30" t="s">
        <v>310</v>
      </c>
      <c r="B23" s="30" t="s">
        <v>116</v>
      </c>
      <c r="C23" s="4">
        <v>0</v>
      </c>
      <c r="D23" s="4">
        <v>0</v>
      </c>
      <c r="F23" s="51" t="s">
        <v>328</v>
      </c>
      <c r="G23" s="16"/>
      <c r="H23" s="61">
        <v>0</v>
      </c>
      <c r="I23" s="61">
        <v>0</v>
      </c>
      <c r="J23" s="61">
        <v>0</v>
      </c>
      <c r="K23" s="86">
        <v>0</v>
      </c>
      <c r="L23" s="86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16"/>
      <c r="AA23" s="61">
        <v>0</v>
      </c>
      <c r="AB23" s="60">
        <v>0</v>
      </c>
      <c r="AC23" s="34"/>
      <c r="AD23" s="61">
        <v>0</v>
      </c>
      <c r="AE23" s="60">
        <v>0</v>
      </c>
    </row>
    <row r="24" spans="1:33" ht="18" hidden="1" customHeight="1" outlineLevel="1" x14ac:dyDescent="0.2">
      <c r="A24" s="46" t="s">
        <v>298</v>
      </c>
      <c r="B24" s="46" t="s">
        <v>117</v>
      </c>
      <c r="C24" s="47">
        <v>0</v>
      </c>
      <c r="D24" s="47">
        <v>0</v>
      </c>
      <c r="E24" s="31"/>
      <c r="F24" s="94" t="s">
        <v>329</v>
      </c>
      <c r="G24" s="16"/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0</v>
      </c>
      <c r="X24" s="59">
        <v>0</v>
      </c>
      <c r="Y24" s="59">
        <v>0</v>
      </c>
      <c r="Z24" s="16"/>
      <c r="AA24" s="59">
        <v>0</v>
      </c>
      <c r="AB24" s="63">
        <v>0</v>
      </c>
      <c r="AC24" s="31"/>
      <c r="AD24" s="59">
        <v>0</v>
      </c>
      <c r="AE24" s="63">
        <v>0</v>
      </c>
    </row>
    <row r="25" spans="1:33" ht="18" customHeight="1" collapsed="1" x14ac:dyDescent="0.2">
      <c r="A25" s="32"/>
      <c r="B25" s="32"/>
      <c r="C25" s="4">
        <v>0</v>
      </c>
      <c r="D25" s="4">
        <v>0</v>
      </c>
      <c r="F25" s="51" t="s">
        <v>372</v>
      </c>
      <c r="G25" s="16"/>
      <c r="H25" s="61">
        <v>0</v>
      </c>
      <c r="I25" s="61">
        <v>0</v>
      </c>
      <c r="J25" s="61">
        <v>0</v>
      </c>
      <c r="K25" s="86">
        <v>0</v>
      </c>
      <c r="L25" s="86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16"/>
      <c r="AA25" s="61">
        <v>0</v>
      </c>
      <c r="AB25" s="60">
        <v>0</v>
      </c>
      <c r="AC25" s="34"/>
      <c r="AD25" s="61">
        <v>0</v>
      </c>
      <c r="AE25" s="60">
        <v>0</v>
      </c>
      <c r="AG25" s="48"/>
    </row>
    <row r="26" spans="1:33" ht="18" customHeight="1" x14ac:dyDescent="0.2">
      <c r="A26" s="30" t="s">
        <v>310</v>
      </c>
      <c r="B26" s="30" t="s">
        <v>330</v>
      </c>
      <c r="C26" s="4">
        <v>0</v>
      </c>
      <c r="D26" s="4">
        <v>0</v>
      </c>
      <c r="F26" s="51" t="s">
        <v>331</v>
      </c>
      <c r="G26" s="16"/>
      <c r="H26" s="61">
        <v>0</v>
      </c>
      <c r="I26" s="61">
        <v>0</v>
      </c>
      <c r="J26" s="61">
        <v>0</v>
      </c>
      <c r="K26" s="86">
        <v>0</v>
      </c>
      <c r="L26" s="86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16"/>
      <c r="AA26" s="61">
        <v>0</v>
      </c>
      <c r="AB26" s="60">
        <v>0</v>
      </c>
      <c r="AC26" s="34"/>
      <c r="AD26" s="61">
        <v>0</v>
      </c>
      <c r="AE26" s="60">
        <v>0</v>
      </c>
    </row>
    <row r="27" spans="1:33" ht="18" customHeight="1" x14ac:dyDescent="0.2">
      <c r="A27" s="30" t="s">
        <v>310</v>
      </c>
      <c r="B27" s="30" t="s">
        <v>332</v>
      </c>
      <c r="C27" s="4">
        <v>0</v>
      </c>
      <c r="D27" s="4">
        <v>0</v>
      </c>
      <c r="F27" s="51" t="s">
        <v>333</v>
      </c>
      <c r="G27" s="16"/>
      <c r="H27" s="61">
        <v>0</v>
      </c>
      <c r="I27" s="61">
        <v>0</v>
      </c>
      <c r="J27" s="61">
        <v>0</v>
      </c>
      <c r="K27" s="86">
        <v>0</v>
      </c>
      <c r="L27" s="86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16"/>
      <c r="AA27" s="61">
        <v>0</v>
      </c>
      <c r="AB27" s="60">
        <v>0</v>
      </c>
      <c r="AC27" s="34"/>
      <c r="AD27" s="61">
        <v>0</v>
      </c>
      <c r="AE27" s="60">
        <v>0</v>
      </c>
    </row>
    <row r="28" spans="1:33" ht="18" customHeight="1" x14ac:dyDescent="0.2">
      <c r="A28" s="30" t="s">
        <v>310</v>
      </c>
      <c r="B28" s="30" t="s">
        <v>335</v>
      </c>
      <c r="C28" s="4">
        <v>0</v>
      </c>
      <c r="D28" s="4">
        <v>0</v>
      </c>
      <c r="F28" s="51" t="s">
        <v>336</v>
      </c>
      <c r="G28" s="16"/>
      <c r="H28" s="61">
        <v>0</v>
      </c>
      <c r="I28" s="61">
        <v>0</v>
      </c>
      <c r="J28" s="61">
        <v>0</v>
      </c>
      <c r="K28" s="86">
        <v>0</v>
      </c>
      <c r="L28" s="86">
        <v>0</v>
      </c>
      <c r="M28" s="61">
        <v>0</v>
      </c>
      <c r="N28" s="61">
        <v>0</v>
      </c>
      <c r="O28" s="61">
        <v>0</v>
      </c>
      <c r="P28" s="61">
        <v>0</v>
      </c>
      <c r="Q28" s="61">
        <v>0</v>
      </c>
      <c r="R28" s="61">
        <v>0</v>
      </c>
      <c r="S28" s="61">
        <v>0</v>
      </c>
      <c r="T28" s="61">
        <v>0</v>
      </c>
      <c r="U28" s="61">
        <v>0</v>
      </c>
      <c r="V28" s="61">
        <v>0</v>
      </c>
      <c r="W28" s="61">
        <v>0</v>
      </c>
      <c r="X28" s="61">
        <v>0</v>
      </c>
      <c r="Y28" s="61">
        <v>0</v>
      </c>
      <c r="Z28" s="16"/>
      <c r="AA28" s="61">
        <v>0</v>
      </c>
      <c r="AB28" s="60">
        <v>0</v>
      </c>
      <c r="AC28" s="34"/>
      <c r="AD28" s="61">
        <v>0</v>
      </c>
      <c r="AE28" s="60">
        <v>0</v>
      </c>
    </row>
    <row r="29" spans="1:33" ht="18" customHeight="1" x14ac:dyDescent="0.2">
      <c r="A29" s="30" t="s">
        <v>310</v>
      </c>
      <c r="B29" s="30" t="s">
        <v>337</v>
      </c>
      <c r="C29" s="4">
        <v>0</v>
      </c>
      <c r="D29" s="4">
        <v>0</v>
      </c>
      <c r="F29" s="51" t="s">
        <v>338</v>
      </c>
      <c r="G29" s="16"/>
      <c r="H29" s="61">
        <v>0</v>
      </c>
      <c r="I29" s="61">
        <v>0</v>
      </c>
      <c r="J29" s="61">
        <v>0</v>
      </c>
      <c r="K29" s="86">
        <v>0</v>
      </c>
      <c r="L29" s="86">
        <v>0</v>
      </c>
      <c r="M29" s="61">
        <v>0</v>
      </c>
      <c r="N29" s="61">
        <v>0</v>
      </c>
      <c r="O29" s="61">
        <v>0</v>
      </c>
      <c r="P29" s="61">
        <v>0</v>
      </c>
      <c r="Q29" s="61">
        <v>0</v>
      </c>
      <c r="R29" s="61">
        <v>0</v>
      </c>
      <c r="S29" s="61">
        <v>0</v>
      </c>
      <c r="T29" s="61">
        <v>0</v>
      </c>
      <c r="U29" s="61">
        <v>0</v>
      </c>
      <c r="V29" s="61">
        <v>0</v>
      </c>
      <c r="W29" s="61">
        <v>0</v>
      </c>
      <c r="X29" s="61">
        <v>0</v>
      </c>
      <c r="Y29" s="61">
        <v>0</v>
      </c>
      <c r="Z29" s="16"/>
      <c r="AA29" s="61">
        <v>0</v>
      </c>
      <c r="AB29" s="60">
        <v>0</v>
      </c>
      <c r="AC29" s="34"/>
      <c r="AD29" s="61">
        <v>0</v>
      </c>
      <c r="AE29" s="60">
        <v>0</v>
      </c>
    </row>
    <row r="30" spans="1:33" ht="18" customHeight="1" x14ac:dyDescent="0.2">
      <c r="A30" s="30" t="s">
        <v>310</v>
      </c>
      <c r="B30" s="30" t="s">
        <v>458</v>
      </c>
      <c r="C30" s="4">
        <v>0</v>
      </c>
      <c r="D30" s="4">
        <v>0</v>
      </c>
      <c r="F30" s="213" t="s">
        <v>443</v>
      </c>
      <c r="G30" s="16"/>
      <c r="H30" s="61">
        <v>0</v>
      </c>
      <c r="I30" s="61">
        <v>0</v>
      </c>
      <c r="J30" s="61">
        <v>0</v>
      </c>
      <c r="K30" s="86">
        <v>0</v>
      </c>
      <c r="L30" s="86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16"/>
      <c r="AA30" s="61">
        <v>0</v>
      </c>
      <c r="AB30" s="60">
        <v>0</v>
      </c>
      <c r="AC30" s="34"/>
      <c r="AD30" s="61">
        <v>0</v>
      </c>
      <c r="AE30" s="60">
        <v>0</v>
      </c>
    </row>
    <row r="31" spans="1:33" ht="18" customHeight="1" x14ac:dyDescent="0.2">
      <c r="A31" s="30" t="s">
        <v>310</v>
      </c>
      <c r="B31" s="30" t="s">
        <v>341</v>
      </c>
      <c r="C31" s="4">
        <v>0</v>
      </c>
      <c r="D31" s="4">
        <v>0</v>
      </c>
      <c r="F31" s="51" t="s">
        <v>342</v>
      </c>
      <c r="G31" s="16"/>
      <c r="H31" s="61">
        <v>0</v>
      </c>
      <c r="I31" s="61">
        <v>0</v>
      </c>
      <c r="J31" s="61">
        <v>0</v>
      </c>
      <c r="K31" s="86">
        <v>0</v>
      </c>
      <c r="L31" s="86">
        <v>0</v>
      </c>
      <c r="M31" s="61">
        <v>0</v>
      </c>
      <c r="N31" s="61">
        <v>0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16"/>
      <c r="AA31" s="61">
        <v>0</v>
      </c>
      <c r="AB31" s="60">
        <v>0</v>
      </c>
      <c r="AC31" s="34"/>
      <c r="AD31" s="61">
        <v>0</v>
      </c>
      <c r="AE31" s="60">
        <v>0</v>
      </c>
    </row>
    <row r="32" spans="1:33" ht="18" customHeight="1" x14ac:dyDescent="0.2">
      <c r="A32" s="32"/>
      <c r="B32" s="32"/>
      <c r="C32" s="4">
        <v>0</v>
      </c>
      <c r="D32" s="4">
        <v>0</v>
      </c>
      <c r="F32" s="51" t="s">
        <v>343</v>
      </c>
      <c r="G32" s="16"/>
      <c r="H32" s="61">
        <v>0</v>
      </c>
      <c r="I32" s="61">
        <v>0</v>
      </c>
      <c r="J32" s="61">
        <v>0</v>
      </c>
      <c r="K32" s="86">
        <v>0</v>
      </c>
      <c r="L32" s="86">
        <v>0</v>
      </c>
      <c r="M32" s="61">
        <v>0</v>
      </c>
      <c r="N32" s="61">
        <v>0</v>
      </c>
      <c r="O32" s="61">
        <v>0</v>
      </c>
      <c r="P32" s="61">
        <v>0</v>
      </c>
      <c r="Q32" s="61">
        <v>0</v>
      </c>
      <c r="R32" s="61">
        <v>0</v>
      </c>
      <c r="S32" s="61">
        <v>0</v>
      </c>
      <c r="T32" s="61">
        <v>0</v>
      </c>
      <c r="U32" s="61">
        <v>0</v>
      </c>
      <c r="V32" s="61">
        <v>0</v>
      </c>
      <c r="W32" s="61">
        <v>0</v>
      </c>
      <c r="X32" s="61">
        <v>0</v>
      </c>
      <c r="Y32" s="61">
        <v>0</v>
      </c>
      <c r="Z32" s="16"/>
      <c r="AA32" s="61">
        <v>0</v>
      </c>
      <c r="AB32" s="60">
        <v>0</v>
      </c>
      <c r="AC32" s="34"/>
      <c r="AD32" s="61">
        <v>0</v>
      </c>
      <c r="AE32" s="60">
        <v>0</v>
      </c>
    </row>
    <row r="33" spans="1:33" s="7" customFormat="1" ht="18" customHeight="1" x14ac:dyDescent="0.2">
      <c r="A33" s="32"/>
      <c r="B33" s="32"/>
      <c r="C33" s="5">
        <v>0</v>
      </c>
      <c r="D33" s="5">
        <v>0</v>
      </c>
      <c r="F33" s="118" t="s">
        <v>373</v>
      </c>
      <c r="G33" s="16"/>
      <c r="H33" s="120">
        <v>0</v>
      </c>
      <c r="I33" s="120">
        <v>0</v>
      </c>
      <c r="J33" s="120">
        <v>0</v>
      </c>
      <c r="K33" s="121">
        <v>0</v>
      </c>
      <c r="L33" s="121">
        <v>0</v>
      </c>
      <c r="M33" s="120">
        <v>0</v>
      </c>
      <c r="N33" s="120">
        <v>0</v>
      </c>
      <c r="O33" s="120">
        <v>0</v>
      </c>
      <c r="P33" s="120">
        <v>0</v>
      </c>
      <c r="Q33" s="120">
        <v>0</v>
      </c>
      <c r="R33" s="120">
        <v>0</v>
      </c>
      <c r="S33" s="120">
        <v>0</v>
      </c>
      <c r="T33" s="120">
        <v>0</v>
      </c>
      <c r="U33" s="120">
        <v>0</v>
      </c>
      <c r="V33" s="120">
        <v>0</v>
      </c>
      <c r="W33" s="120">
        <v>0</v>
      </c>
      <c r="X33" s="120">
        <v>0</v>
      </c>
      <c r="Y33" s="120">
        <v>0</v>
      </c>
      <c r="Z33" s="16"/>
      <c r="AA33" s="120">
        <v>0</v>
      </c>
      <c r="AB33" s="60">
        <v>0</v>
      </c>
      <c r="AD33" s="120">
        <v>0</v>
      </c>
      <c r="AE33" s="60">
        <v>0</v>
      </c>
    </row>
    <row r="34" spans="1:33" ht="8.25" customHeight="1" x14ac:dyDescent="0.2">
      <c r="A34" s="116"/>
      <c r="B34" s="116"/>
      <c r="C34" s="4"/>
      <c r="D34" s="4"/>
      <c r="F34" s="8"/>
      <c r="G34" s="16"/>
      <c r="K34" s="8"/>
      <c r="L34" s="8"/>
      <c r="Z34" s="16"/>
      <c r="AB34" s="8"/>
      <c r="AE34" s="8"/>
    </row>
    <row r="35" spans="1:33" ht="18" hidden="1" customHeight="1" outlineLevel="1" x14ac:dyDescent="0.2">
      <c r="A35" s="46" t="s">
        <v>303</v>
      </c>
      <c r="B35" s="46" t="s">
        <v>17</v>
      </c>
      <c r="C35" s="47">
        <v>0</v>
      </c>
      <c r="D35" s="47">
        <v>0</v>
      </c>
      <c r="E35" s="31"/>
      <c r="F35" s="94" t="s">
        <v>346</v>
      </c>
      <c r="G35" s="16"/>
      <c r="H35" s="59">
        <v>0</v>
      </c>
      <c r="I35" s="59">
        <v>0</v>
      </c>
      <c r="J35" s="59">
        <v>0</v>
      </c>
      <c r="K35" s="59">
        <v>0</v>
      </c>
      <c r="L35" s="59">
        <v>0</v>
      </c>
      <c r="M35" s="59">
        <v>0</v>
      </c>
      <c r="N35" s="59">
        <v>0</v>
      </c>
      <c r="O35" s="59">
        <v>0</v>
      </c>
      <c r="P35" s="59">
        <v>0</v>
      </c>
      <c r="Q35" s="59">
        <v>0</v>
      </c>
      <c r="R35" s="59">
        <v>0</v>
      </c>
      <c r="S35" s="59">
        <v>0</v>
      </c>
      <c r="T35" s="59">
        <v>0</v>
      </c>
      <c r="U35" s="59">
        <v>0</v>
      </c>
      <c r="V35" s="59">
        <v>0</v>
      </c>
      <c r="W35" s="59">
        <v>0</v>
      </c>
      <c r="X35" s="59">
        <v>0</v>
      </c>
      <c r="Y35" s="59">
        <v>0</v>
      </c>
      <c r="Z35" s="16"/>
      <c r="AA35" s="59">
        <v>0</v>
      </c>
      <c r="AB35" s="63">
        <v>0</v>
      </c>
      <c r="AC35" s="31"/>
      <c r="AD35" s="59">
        <v>0</v>
      </c>
      <c r="AE35" s="63">
        <v>0</v>
      </c>
    </row>
    <row r="36" spans="1:33" ht="18" hidden="1" customHeight="1" outlineLevel="1" x14ac:dyDescent="0.2">
      <c r="A36" s="46" t="s">
        <v>301</v>
      </c>
      <c r="B36" s="46" t="s">
        <v>304</v>
      </c>
      <c r="C36" s="47">
        <v>0</v>
      </c>
      <c r="D36" s="47">
        <v>0</v>
      </c>
      <c r="E36" s="31"/>
      <c r="F36" s="94" t="s">
        <v>347</v>
      </c>
      <c r="G36" s="16"/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  <c r="Q36" s="59">
        <v>0</v>
      </c>
      <c r="R36" s="59">
        <v>0</v>
      </c>
      <c r="S36" s="59">
        <v>0</v>
      </c>
      <c r="T36" s="59">
        <v>0</v>
      </c>
      <c r="U36" s="59">
        <v>0</v>
      </c>
      <c r="V36" s="59">
        <v>0</v>
      </c>
      <c r="W36" s="59">
        <v>0</v>
      </c>
      <c r="X36" s="59">
        <v>0</v>
      </c>
      <c r="Y36" s="59">
        <v>0</v>
      </c>
      <c r="Z36" s="16"/>
      <c r="AA36" s="59">
        <v>0</v>
      </c>
      <c r="AB36" s="63">
        <v>0</v>
      </c>
      <c r="AC36" s="31"/>
      <c r="AD36" s="59">
        <v>0</v>
      </c>
      <c r="AE36" s="63">
        <v>0</v>
      </c>
    </row>
    <row r="37" spans="1:33" ht="18" customHeight="1" collapsed="1" x14ac:dyDescent="0.2">
      <c r="A37" s="32"/>
      <c r="B37" s="32"/>
      <c r="C37" s="4">
        <v>0</v>
      </c>
      <c r="D37" s="4">
        <v>0</v>
      </c>
      <c r="F37" s="213" t="s">
        <v>436</v>
      </c>
      <c r="G37" s="16"/>
      <c r="H37" s="61">
        <v>0</v>
      </c>
      <c r="I37" s="61">
        <v>0</v>
      </c>
      <c r="J37" s="61">
        <v>0</v>
      </c>
      <c r="K37" s="86">
        <v>0</v>
      </c>
      <c r="L37" s="86">
        <v>0</v>
      </c>
      <c r="M37" s="61">
        <v>0</v>
      </c>
      <c r="N37" s="61">
        <v>0</v>
      </c>
      <c r="O37" s="61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0</v>
      </c>
      <c r="Y37" s="61">
        <v>0</v>
      </c>
      <c r="Z37" s="16"/>
      <c r="AA37" s="61">
        <v>0</v>
      </c>
      <c r="AB37" s="60">
        <v>0</v>
      </c>
      <c r="AC37" s="34"/>
      <c r="AD37" s="61">
        <v>0</v>
      </c>
      <c r="AE37" s="60">
        <v>0</v>
      </c>
      <c r="AG37" s="48"/>
    </row>
    <row r="38" spans="1:33" ht="18" hidden="1" customHeight="1" outlineLevel="1" x14ac:dyDescent="0.2">
      <c r="A38" s="46" t="s">
        <v>300</v>
      </c>
      <c r="B38" s="46" t="s">
        <v>17</v>
      </c>
      <c r="C38" s="47">
        <v>0</v>
      </c>
      <c r="D38" s="47">
        <v>0</v>
      </c>
      <c r="E38" s="31"/>
      <c r="F38" s="217" t="s">
        <v>437</v>
      </c>
      <c r="G38" s="16"/>
      <c r="H38" s="59">
        <v>0</v>
      </c>
      <c r="I38" s="59">
        <v>0</v>
      </c>
      <c r="J38" s="59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59">
        <v>0</v>
      </c>
      <c r="Q38" s="59">
        <v>0</v>
      </c>
      <c r="R38" s="59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16"/>
      <c r="AA38" s="59">
        <v>0</v>
      </c>
      <c r="AB38" s="63">
        <v>0</v>
      </c>
      <c r="AC38" s="31"/>
      <c r="AD38" s="59">
        <v>0</v>
      </c>
      <c r="AE38" s="63">
        <v>0</v>
      </c>
    </row>
    <row r="39" spans="1:33" ht="18" hidden="1" customHeight="1" outlineLevel="1" x14ac:dyDescent="0.2">
      <c r="A39" s="46" t="s">
        <v>301</v>
      </c>
      <c r="B39" s="46" t="s">
        <v>302</v>
      </c>
      <c r="C39" s="47">
        <v>0</v>
      </c>
      <c r="D39" s="47">
        <v>0</v>
      </c>
      <c r="E39" s="31"/>
      <c r="F39" s="217" t="s">
        <v>438</v>
      </c>
      <c r="G39" s="16"/>
      <c r="H39" s="59">
        <v>0</v>
      </c>
      <c r="I39" s="59">
        <v>0</v>
      </c>
      <c r="J39" s="59">
        <v>0</v>
      </c>
      <c r="K39" s="59">
        <v>0</v>
      </c>
      <c r="L39" s="59">
        <v>0</v>
      </c>
      <c r="M39" s="59">
        <v>0</v>
      </c>
      <c r="N39" s="59">
        <v>0</v>
      </c>
      <c r="O39" s="59">
        <v>0</v>
      </c>
      <c r="P39" s="59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0</v>
      </c>
      <c r="X39" s="59">
        <v>0</v>
      </c>
      <c r="Y39" s="59">
        <v>0</v>
      </c>
      <c r="Z39" s="16"/>
      <c r="AA39" s="59">
        <v>0</v>
      </c>
      <c r="AB39" s="63">
        <v>0</v>
      </c>
      <c r="AC39" s="31"/>
      <c r="AD39" s="59">
        <v>0</v>
      </c>
      <c r="AE39" s="63">
        <v>0</v>
      </c>
    </row>
    <row r="40" spans="1:33" ht="18" customHeight="1" collapsed="1" x14ac:dyDescent="0.2">
      <c r="A40" s="32"/>
      <c r="B40" s="32"/>
      <c r="C40" s="4">
        <v>0</v>
      </c>
      <c r="D40" s="4">
        <v>0</v>
      </c>
      <c r="F40" s="213" t="s">
        <v>439</v>
      </c>
      <c r="G40" s="16"/>
      <c r="H40" s="61">
        <v>0</v>
      </c>
      <c r="I40" s="61">
        <v>0</v>
      </c>
      <c r="J40" s="61">
        <v>0</v>
      </c>
      <c r="K40" s="86">
        <v>0</v>
      </c>
      <c r="L40" s="86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16"/>
      <c r="AA40" s="61">
        <v>0</v>
      </c>
      <c r="AB40" s="60">
        <v>0</v>
      </c>
      <c r="AC40" s="34"/>
      <c r="AD40" s="61">
        <v>0</v>
      </c>
      <c r="AE40" s="60">
        <v>0</v>
      </c>
      <c r="AG40" s="48"/>
    </row>
    <row r="41" spans="1:33" ht="18" hidden="1" customHeight="1" outlineLevel="1" x14ac:dyDescent="0.2">
      <c r="A41" s="46" t="s">
        <v>309</v>
      </c>
      <c r="B41" s="46" t="s">
        <v>17</v>
      </c>
      <c r="C41" s="47">
        <v>0</v>
      </c>
      <c r="D41" s="47">
        <v>0</v>
      </c>
      <c r="E41" s="31"/>
      <c r="F41" s="217" t="s">
        <v>440</v>
      </c>
      <c r="G41" s="16"/>
      <c r="H41" s="59">
        <v>0</v>
      </c>
      <c r="I41" s="59">
        <v>0</v>
      </c>
      <c r="J41" s="59">
        <v>0</v>
      </c>
      <c r="K41" s="59">
        <v>0</v>
      </c>
      <c r="L41" s="59">
        <v>0</v>
      </c>
      <c r="M41" s="59">
        <v>0</v>
      </c>
      <c r="N41" s="59">
        <v>0</v>
      </c>
      <c r="O41" s="59">
        <v>0</v>
      </c>
      <c r="P41" s="59">
        <v>0</v>
      </c>
      <c r="Q41" s="59">
        <v>0</v>
      </c>
      <c r="R41" s="59">
        <v>0</v>
      </c>
      <c r="S41" s="59">
        <v>0</v>
      </c>
      <c r="T41" s="59">
        <v>0</v>
      </c>
      <c r="U41" s="59">
        <v>0</v>
      </c>
      <c r="V41" s="59">
        <v>0</v>
      </c>
      <c r="W41" s="59">
        <v>0</v>
      </c>
      <c r="X41" s="59">
        <v>0</v>
      </c>
      <c r="Y41" s="59">
        <v>0</v>
      </c>
      <c r="Z41" s="16"/>
      <c r="AA41" s="59">
        <v>0</v>
      </c>
      <c r="AB41" s="63">
        <v>0</v>
      </c>
      <c r="AC41" s="31"/>
      <c r="AD41" s="59">
        <v>0</v>
      </c>
      <c r="AE41" s="63">
        <v>0</v>
      </c>
    </row>
    <row r="42" spans="1:33" ht="18" hidden="1" customHeight="1" outlineLevel="1" x14ac:dyDescent="0.2">
      <c r="A42" s="46" t="s">
        <v>301</v>
      </c>
      <c r="B42" s="46" t="s">
        <v>308</v>
      </c>
      <c r="C42" s="47">
        <v>0</v>
      </c>
      <c r="D42" s="47">
        <v>0</v>
      </c>
      <c r="E42" s="31"/>
      <c r="F42" s="217" t="s">
        <v>441</v>
      </c>
      <c r="G42" s="16"/>
      <c r="H42" s="59">
        <v>0</v>
      </c>
      <c r="I42" s="59">
        <v>0</v>
      </c>
      <c r="J42" s="59">
        <v>0</v>
      </c>
      <c r="K42" s="59">
        <v>0</v>
      </c>
      <c r="L42" s="59">
        <v>0</v>
      </c>
      <c r="M42" s="59">
        <v>0</v>
      </c>
      <c r="N42" s="59">
        <v>0</v>
      </c>
      <c r="O42" s="59">
        <v>0</v>
      </c>
      <c r="P42" s="59">
        <v>0</v>
      </c>
      <c r="Q42" s="59">
        <v>0</v>
      </c>
      <c r="R42" s="59">
        <v>0</v>
      </c>
      <c r="S42" s="59">
        <v>0</v>
      </c>
      <c r="T42" s="59">
        <v>0</v>
      </c>
      <c r="U42" s="59">
        <v>0</v>
      </c>
      <c r="V42" s="59">
        <v>0</v>
      </c>
      <c r="W42" s="59">
        <v>0</v>
      </c>
      <c r="X42" s="59">
        <v>0</v>
      </c>
      <c r="Y42" s="59">
        <v>0</v>
      </c>
      <c r="Z42" s="16"/>
      <c r="AA42" s="59">
        <v>0</v>
      </c>
      <c r="AB42" s="63">
        <v>0</v>
      </c>
      <c r="AC42" s="31"/>
      <c r="AD42" s="59">
        <v>0</v>
      </c>
      <c r="AE42" s="63">
        <v>0</v>
      </c>
    </row>
    <row r="43" spans="1:33" ht="18" customHeight="1" collapsed="1" x14ac:dyDescent="0.2">
      <c r="A43" s="32"/>
      <c r="B43" s="32"/>
      <c r="C43" s="4">
        <v>0</v>
      </c>
      <c r="D43" s="4">
        <v>0</v>
      </c>
      <c r="F43" s="213" t="s">
        <v>442</v>
      </c>
      <c r="G43" s="16"/>
      <c r="H43" s="61">
        <v>0</v>
      </c>
      <c r="I43" s="61">
        <v>0</v>
      </c>
      <c r="J43" s="61">
        <v>0</v>
      </c>
      <c r="K43" s="86">
        <v>0</v>
      </c>
      <c r="L43" s="86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16"/>
      <c r="AA43" s="61">
        <v>0</v>
      </c>
      <c r="AB43" s="60">
        <v>0</v>
      </c>
      <c r="AC43" s="34"/>
      <c r="AD43" s="61">
        <v>0</v>
      </c>
      <c r="AE43" s="60">
        <v>0</v>
      </c>
      <c r="AG43" s="48"/>
    </row>
    <row r="44" spans="1:33" ht="18" hidden="1" customHeight="1" outlineLevel="1" x14ac:dyDescent="0.2">
      <c r="A44" s="212" t="s">
        <v>435</v>
      </c>
      <c r="B44" s="46" t="s">
        <v>17</v>
      </c>
      <c r="C44" s="47">
        <v>0</v>
      </c>
      <c r="D44" s="47">
        <v>0</v>
      </c>
      <c r="E44" s="31"/>
      <c r="F44" s="203" t="s">
        <v>433</v>
      </c>
      <c r="G44" s="16"/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  <c r="N44" s="59">
        <v>0</v>
      </c>
      <c r="O44" s="59">
        <v>0</v>
      </c>
      <c r="P44" s="59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16"/>
      <c r="AA44" s="59">
        <v>0</v>
      </c>
      <c r="AB44" s="63">
        <v>0</v>
      </c>
      <c r="AC44" s="31"/>
      <c r="AD44" s="59">
        <v>0</v>
      </c>
      <c r="AE44" s="63">
        <v>0</v>
      </c>
    </row>
    <row r="45" spans="1:33" ht="18" hidden="1" customHeight="1" outlineLevel="1" x14ac:dyDescent="0.2">
      <c r="A45" s="46" t="s">
        <v>301</v>
      </c>
      <c r="B45" s="212" t="s">
        <v>451</v>
      </c>
      <c r="C45" s="47">
        <v>0</v>
      </c>
      <c r="D45" s="47">
        <v>0</v>
      </c>
      <c r="E45" s="31"/>
      <c r="F45" s="203" t="s">
        <v>434</v>
      </c>
      <c r="G45" s="16"/>
      <c r="H45" s="59">
        <v>0</v>
      </c>
      <c r="I45" s="59">
        <v>0</v>
      </c>
      <c r="J45" s="59">
        <v>0</v>
      </c>
      <c r="K45" s="59">
        <v>0</v>
      </c>
      <c r="L45" s="59">
        <v>0</v>
      </c>
      <c r="M45" s="59">
        <v>0</v>
      </c>
      <c r="N45" s="59">
        <v>0</v>
      </c>
      <c r="O45" s="59">
        <v>0</v>
      </c>
      <c r="P45" s="59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16"/>
      <c r="AA45" s="59">
        <v>0</v>
      </c>
      <c r="AB45" s="63">
        <v>0</v>
      </c>
      <c r="AC45" s="31"/>
      <c r="AD45" s="59">
        <v>0</v>
      </c>
      <c r="AE45" s="63">
        <v>0</v>
      </c>
    </row>
    <row r="46" spans="1:33" ht="18" customHeight="1" collapsed="1" x14ac:dyDescent="0.2">
      <c r="A46" s="32"/>
      <c r="B46" s="32"/>
      <c r="C46" s="4">
        <v>0</v>
      </c>
      <c r="D46" s="4">
        <v>0</v>
      </c>
      <c r="F46" s="51" t="s">
        <v>432</v>
      </c>
      <c r="G46" s="16"/>
      <c r="H46" s="197">
        <v>0</v>
      </c>
      <c r="I46" s="197">
        <v>0</v>
      </c>
      <c r="J46" s="197">
        <v>0</v>
      </c>
      <c r="K46" s="86">
        <v>0</v>
      </c>
      <c r="L46" s="86">
        <v>0</v>
      </c>
      <c r="M46" s="197">
        <v>0</v>
      </c>
      <c r="N46" s="197">
        <v>0</v>
      </c>
      <c r="O46" s="197">
        <v>0</v>
      </c>
      <c r="P46" s="197">
        <v>0</v>
      </c>
      <c r="Q46" s="197">
        <v>0</v>
      </c>
      <c r="R46" s="197">
        <v>0</v>
      </c>
      <c r="S46" s="197">
        <v>0</v>
      </c>
      <c r="T46" s="197">
        <v>0</v>
      </c>
      <c r="U46" s="197">
        <v>0</v>
      </c>
      <c r="V46" s="197">
        <v>0</v>
      </c>
      <c r="W46" s="197">
        <v>0</v>
      </c>
      <c r="X46" s="197">
        <v>0</v>
      </c>
      <c r="Y46" s="197">
        <v>0</v>
      </c>
      <c r="Z46" s="16"/>
      <c r="AA46" s="197">
        <v>0</v>
      </c>
      <c r="AB46" s="60">
        <v>0</v>
      </c>
      <c r="AC46" s="34"/>
      <c r="AD46" s="197">
        <v>0</v>
      </c>
      <c r="AE46" s="60">
        <v>0</v>
      </c>
      <c r="AG46" s="48"/>
    </row>
    <row r="47" spans="1:33" ht="18" hidden="1" customHeight="1" outlineLevel="1" x14ac:dyDescent="0.2">
      <c r="A47" s="46" t="s">
        <v>306</v>
      </c>
      <c r="B47" s="46" t="s">
        <v>17</v>
      </c>
      <c r="C47" s="47">
        <v>0</v>
      </c>
      <c r="D47" s="47">
        <v>0</v>
      </c>
      <c r="E47" s="31"/>
      <c r="F47" s="94" t="s">
        <v>350</v>
      </c>
      <c r="G47" s="16"/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16"/>
      <c r="AA47" s="59">
        <v>0</v>
      </c>
      <c r="AB47" s="63">
        <v>0</v>
      </c>
      <c r="AC47" s="31"/>
      <c r="AD47" s="59">
        <v>0</v>
      </c>
      <c r="AE47" s="63">
        <v>0</v>
      </c>
    </row>
    <row r="48" spans="1:33" ht="18" hidden="1" customHeight="1" outlineLevel="1" x14ac:dyDescent="0.2">
      <c r="A48" s="46" t="s">
        <v>301</v>
      </c>
      <c r="B48" s="46" t="s">
        <v>307</v>
      </c>
      <c r="C48" s="47">
        <v>0</v>
      </c>
      <c r="D48" s="47">
        <v>0</v>
      </c>
      <c r="E48" s="31"/>
      <c r="F48" s="94" t="s">
        <v>351</v>
      </c>
      <c r="G48" s="16"/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16"/>
      <c r="AA48" s="59">
        <v>0</v>
      </c>
      <c r="AB48" s="63">
        <v>0</v>
      </c>
      <c r="AC48" s="31"/>
      <c r="AD48" s="59">
        <v>0</v>
      </c>
      <c r="AE48" s="63">
        <v>0</v>
      </c>
    </row>
    <row r="49" spans="1:33" ht="18" customHeight="1" collapsed="1" x14ac:dyDescent="0.2">
      <c r="A49" s="32"/>
      <c r="B49" s="32"/>
      <c r="C49" s="4">
        <v>0</v>
      </c>
      <c r="D49" s="4">
        <v>0</v>
      </c>
      <c r="F49" s="51" t="s">
        <v>325</v>
      </c>
      <c r="G49" s="16"/>
      <c r="H49" s="61">
        <v>0</v>
      </c>
      <c r="I49" s="61">
        <v>0</v>
      </c>
      <c r="J49" s="61">
        <v>0</v>
      </c>
      <c r="K49" s="86">
        <v>0</v>
      </c>
      <c r="L49" s="86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  <c r="R49" s="61">
        <v>0</v>
      </c>
      <c r="S49" s="61">
        <v>0</v>
      </c>
      <c r="T49" s="61">
        <v>0</v>
      </c>
      <c r="U49" s="61">
        <v>0</v>
      </c>
      <c r="V49" s="61">
        <v>0</v>
      </c>
      <c r="W49" s="61">
        <v>0</v>
      </c>
      <c r="X49" s="61">
        <v>0</v>
      </c>
      <c r="Y49" s="61">
        <v>0</v>
      </c>
      <c r="Z49" s="16"/>
      <c r="AA49" s="61">
        <v>0</v>
      </c>
      <c r="AB49" s="60">
        <v>0</v>
      </c>
      <c r="AC49" s="34"/>
      <c r="AD49" s="61">
        <v>0</v>
      </c>
      <c r="AE49" s="60">
        <v>0</v>
      </c>
      <c r="AG49" s="48"/>
    </row>
    <row r="50" spans="1:33" ht="18" hidden="1" customHeight="1" outlineLevel="1" x14ac:dyDescent="0.2">
      <c r="A50" s="46" t="s">
        <v>305</v>
      </c>
      <c r="B50" s="46" t="s">
        <v>17</v>
      </c>
      <c r="C50" s="47">
        <v>0</v>
      </c>
      <c r="D50" s="47">
        <v>0</v>
      </c>
      <c r="E50" s="31"/>
      <c r="F50" s="94" t="s">
        <v>353</v>
      </c>
      <c r="G50" s="16"/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0</v>
      </c>
      <c r="Z50" s="16"/>
      <c r="AA50" s="59">
        <v>0</v>
      </c>
      <c r="AB50" s="63">
        <v>0</v>
      </c>
      <c r="AC50" s="31"/>
      <c r="AD50" s="59">
        <v>0</v>
      </c>
      <c r="AE50" s="63">
        <v>0</v>
      </c>
    </row>
    <row r="51" spans="1:33" ht="18" hidden="1" customHeight="1" outlineLevel="1" x14ac:dyDescent="0.2">
      <c r="A51" s="46" t="s">
        <v>301</v>
      </c>
      <c r="B51" s="46" t="s">
        <v>352</v>
      </c>
      <c r="C51" s="47">
        <v>0</v>
      </c>
      <c r="D51" s="47">
        <v>0</v>
      </c>
      <c r="E51" s="31"/>
      <c r="F51" s="94" t="s">
        <v>354</v>
      </c>
      <c r="G51" s="16"/>
      <c r="H51" s="59">
        <v>0</v>
      </c>
      <c r="I51" s="59">
        <v>0</v>
      </c>
      <c r="J51" s="59">
        <v>0</v>
      </c>
      <c r="K51" s="59">
        <v>0</v>
      </c>
      <c r="L51" s="59">
        <v>0</v>
      </c>
      <c r="M51" s="59">
        <v>0</v>
      </c>
      <c r="N51" s="59">
        <v>0</v>
      </c>
      <c r="O51" s="59">
        <v>0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59">
        <v>0</v>
      </c>
      <c r="Y51" s="59">
        <v>0</v>
      </c>
      <c r="Z51" s="16"/>
      <c r="AA51" s="59">
        <v>0</v>
      </c>
      <c r="AB51" s="63">
        <v>0</v>
      </c>
      <c r="AC51" s="31"/>
      <c r="AD51" s="59">
        <v>0</v>
      </c>
      <c r="AE51" s="63">
        <v>0</v>
      </c>
    </row>
    <row r="52" spans="1:33" ht="18" hidden="1" customHeight="1" outlineLevel="1" x14ac:dyDescent="0.2">
      <c r="A52" s="46" t="s">
        <v>310</v>
      </c>
      <c r="B52" s="46" t="s">
        <v>334</v>
      </c>
      <c r="C52" s="47">
        <v>0</v>
      </c>
      <c r="D52" s="47">
        <v>0</v>
      </c>
      <c r="E52" s="31"/>
      <c r="F52" s="94" t="s">
        <v>355</v>
      </c>
      <c r="G52" s="16"/>
      <c r="H52" s="59">
        <v>0</v>
      </c>
      <c r="I52" s="59">
        <v>0</v>
      </c>
      <c r="J52" s="59">
        <v>0</v>
      </c>
      <c r="K52" s="59">
        <v>0</v>
      </c>
      <c r="L52" s="59">
        <v>0</v>
      </c>
      <c r="M52" s="59">
        <v>0</v>
      </c>
      <c r="N52" s="59">
        <v>0</v>
      </c>
      <c r="O52" s="59">
        <v>0</v>
      </c>
      <c r="P52" s="59">
        <v>0</v>
      </c>
      <c r="Q52" s="59">
        <v>0</v>
      </c>
      <c r="R52" s="59">
        <v>0</v>
      </c>
      <c r="S52" s="59">
        <v>0</v>
      </c>
      <c r="T52" s="59">
        <v>0</v>
      </c>
      <c r="U52" s="59">
        <v>0</v>
      </c>
      <c r="V52" s="59">
        <v>0</v>
      </c>
      <c r="W52" s="59">
        <v>0</v>
      </c>
      <c r="X52" s="59">
        <v>0</v>
      </c>
      <c r="Y52" s="59">
        <v>0</v>
      </c>
      <c r="Z52" s="16"/>
      <c r="AA52" s="59">
        <v>0</v>
      </c>
      <c r="AB52" s="60">
        <v>0</v>
      </c>
      <c r="AC52" s="31"/>
      <c r="AD52" s="59">
        <v>0</v>
      </c>
      <c r="AE52" s="60">
        <v>0</v>
      </c>
    </row>
    <row r="53" spans="1:33" ht="18" customHeight="1" collapsed="1" x14ac:dyDescent="0.2">
      <c r="A53" s="32"/>
      <c r="B53" s="32"/>
      <c r="C53" s="4">
        <v>0</v>
      </c>
      <c r="D53" s="4">
        <v>0</v>
      </c>
      <c r="F53" s="51" t="s">
        <v>363</v>
      </c>
      <c r="G53" s="16"/>
      <c r="H53" s="61">
        <v>0</v>
      </c>
      <c r="I53" s="61">
        <v>0</v>
      </c>
      <c r="J53" s="61">
        <v>0</v>
      </c>
      <c r="K53" s="86">
        <v>0</v>
      </c>
      <c r="L53" s="86">
        <v>0</v>
      </c>
      <c r="M53" s="61">
        <v>0</v>
      </c>
      <c r="N53" s="61">
        <v>0</v>
      </c>
      <c r="O53" s="61">
        <v>0</v>
      </c>
      <c r="P53" s="61">
        <v>0</v>
      </c>
      <c r="Q53" s="61">
        <v>0</v>
      </c>
      <c r="R53" s="61">
        <v>0</v>
      </c>
      <c r="S53" s="61">
        <v>0</v>
      </c>
      <c r="T53" s="61">
        <v>0</v>
      </c>
      <c r="U53" s="61">
        <v>0</v>
      </c>
      <c r="V53" s="61">
        <v>0</v>
      </c>
      <c r="W53" s="61">
        <v>0</v>
      </c>
      <c r="X53" s="61">
        <v>0</v>
      </c>
      <c r="Y53" s="61">
        <v>0</v>
      </c>
      <c r="Z53" s="16"/>
      <c r="AA53" s="61">
        <v>0</v>
      </c>
      <c r="AB53" s="60">
        <v>0</v>
      </c>
      <c r="AC53" s="34"/>
      <c r="AD53" s="61">
        <v>0</v>
      </c>
      <c r="AE53" s="60">
        <v>0</v>
      </c>
      <c r="AG53" s="48"/>
    </row>
    <row r="54" spans="1:33" ht="18" customHeight="1" x14ac:dyDescent="0.2">
      <c r="A54" s="30" t="s">
        <v>311</v>
      </c>
      <c r="B54" s="30" t="s">
        <v>17</v>
      </c>
      <c r="C54" s="4">
        <v>0</v>
      </c>
      <c r="D54" s="4">
        <v>0</v>
      </c>
      <c r="F54" s="51" t="s">
        <v>374</v>
      </c>
      <c r="G54" s="16"/>
      <c r="H54" s="61">
        <v>0</v>
      </c>
      <c r="I54" s="61">
        <v>0</v>
      </c>
      <c r="J54" s="61">
        <v>0</v>
      </c>
      <c r="K54" s="86">
        <v>0</v>
      </c>
      <c r="L54" s="86">
        <v>0</v>
      </c>
      <c r="M54" s="61">
        <v>0</v>
      </c>
      <c r="N54" s="61">
        <v>0</v>
      </c>
      <c r="O54" s="61">
        <v>0</v>
      </c>
      <c r="P54" s="61">
        <v>0</v>
      </c>
      <c r="Q54" s="61">
        <v>0</v>
      </c>
      <c r="R54" s="61">
        <v>0</v>
      </c>
      <c r="S54" s="61">
        <v>0</v>
      </c>
      <c r="T54" s="61">
        <v>0</v>
      </c>
      <c r="U54" s="61">
        <v>0</v>
      </c>
      <c r="V54" s="61">
        <v>0</v>
      </c>
      <c r="W54" s="61">
        <v>0</v>
      </c>
      <c r="X54" s="61">
        <v>0</v>
      </c>
      <c r="Y54" s="61">
        <v>0</v>
      </c>
      <c r="Z54" s="16"/>
      <c r="AA54" s="61">
        <v>0</v>
      </c>
      <c r="AB54" s="60">
        <v>0</v>
      </c>
      <c r="AD54" s="61">
        <v>0</v>
      </c>
      <c r="AE54" s="60">
        <v>0</v>
      </c>
    </row>
    <row r="55" spans="1:33" ht="18" customHeight="1" x14ac:dyDescent="0.2">
      <c r="A55" s="32"/>
      <c r="B55" s="32"/>
      <c r="C55" s="5">
        <v>0</v>
      </c>
      <c r="D55" s="5">
        <v>0</v>
      </c>
      <c r="F55" s="118" t="s">
        <v>375</v>
      </c>
      <c r="G55" s="16"/>
      <c r="H55" s="120">
        <v>0</v>
      </c>
      <c r="I55" s="120">
        <v>0</v>
      </c>
      <c r="J55" s="120">
        <v>0</v>
      </c>
      <c r="K55" s="121">
        <v>0</v>
      </c>
      <c r="L55" s="121">
        <v>0</v>
      </c>
      <c r="M55" s="120">
        <v>0</v>
      </c>
      <c r="N55" s="120">
        <v>0</v>
      </c>
      <c r="O55" s="120">
        <v>0</v>
      </c>
      <c r="P55" s="120">
        <v>0</v>
      </c>
      <c r="Q55" s="120">
        <v>0</v>
      </c>
      <c r="R55" s="120">
        <v>0</v>
      </c>
      <c r="S55" s="120">
        <v>0</v>
      </c>
      <c r="T55" s="120">
        <v>0</v>
      </c>
      <c r="U55" s="120">
        <v>0</v>
      </c>
      <c r="V55" s="120">
        <v>0</v>
      </c>
      <c r="W55" s="120">
        <v>0</v>
      </c>
      <c r="X55" s="120">
        <v>0</v>
      </c>
      <c r="Y55" s="120">
        <v>0</v>
      </c>
      <c r="Z55" s="16"/>
      <c r="AA55" s="120">
        <v>0</v>
      </c>
      <c r="AB55" s="60">
        <v>0</v>
      </c>
      <c r="AC55" s="7"/>
      <c r="AD55" s="120">
        <v>0</v>
      </c>
      <c r="AE55" s="60">
        <v>0</v>
      </c>
    </row>
    <row r="56" spans="1:33" ht="8.25" customHeight="1" x14ac:dyDescent="0.2">
      <c r="A56" s="116"/>
      <c r="F56" s="8"/>
      <c r="G56" s="16"/>
      <c r="K56" s="8"/>
      <c r="L56" s="8"/>
      <c r="Z56" s="16"/>
      <c r="AB56" s="8"/>
      <c r="AE56" s="8"/>
    </row>
    <row r="57" spans="1:33" ht="18" customHeight="1" x14ac:dyDescent="0.2">
      <c r="A57" s="30" t="s">
        <v>313</v>
      </c>
      <c r="B57" s="30" t="s">
        <v>17</v>
      </c>
      <c r="C57" s="4">
        <v>0</v>
      </c>
      <c r="D57" s="4">
        <v>0</v>
      </c>
      <c r="F57" s="51" t="s">
        <v>312</v>
      </c>
      <c r="G57" s="16"/>
      <c r="H57" s="61">
        <v>0</v>
      </c>
      <c r="I57" s="61">
        <v>0</v>
      </c>
      <c r="J57" s="61">
        <v>0</v>
      </c>
      <c r="K57" s="86">
        <v>0</v>
      </c>
      <c r="L57" s="86">
        <v>0</v>
      </c>
      <c r="M57" s="61">
        <v>0</v>
      </c>
      <c r="N57" s="61">
        <v>0</v>
      </c>
      <c r="O57" s="61">
        <v>0</v>
      </c>
      <c r="P57" s="61">
        <v>0</v>
      </c>
      <c r="Q57" s="61">
        <v>0</v>
      </c>
      <c r="R57" s="61">
        <v>0</v>
      </c>
      <c r="S57" s="61">
        <v>0</v>
      </c>
      <c r="T57" s="61">
        <v>0</v>
      </c>
      <c r="U57" s="61">
        <v>0</v>
      </c>
      <c r="V57" s="61">
        <v>0</v>
      </c>
      <c r="W57" s="61">
        <v>0</v>
      </c>
      <c r="X57" s="61">
        <v>0</v>
      </c>
      <c r="Y57" s="61">
        <v>0</v>
      </c>
      <c r="Z57" s="16"/>
      <c r="AA57" s="61">
        <v>0</v>
      </c>
      <c r="AB57" s="60">
        <v>0</v>
      </c>
      <c r="AD57" s="61">
        <v>0</v>
      </c>
      <c r="AE57" s="60">
        <v>0</v>
      </c>
    </row>
    <row r="58" spans="1:33" ht="8.25" customHeight="1" x14ac:dyDescent="0.2">
      <c r="A58" s="116"/>
      <c r="F58" s="8"/>
      <c r="G58" s="16"/>
      <c r="K58" s="8"/>
      <c r="L58" s="8"/>
      <c r="Z58" s="16"/>
      <c r="AB58" s="8"/>
      <c r="AE58" s="8"/>
    </row>
    <row r="59" spans="1:33" s="7" customFormat="1" ht="18" customHeight="1" x14ac:dyDescent="0.2">
      <c r="A59" s="30" t="s">
        <v>299</v>
      </c>
      <c r="B59" s="30" t="s">
        <v>17</v>
      </c>
      <c r="C59" s="4">
        <v>0</v>
      </c>
      <c r="D59" s="4">
        <v>0</v>
      </c>
      <c r="E59" s="8"/>
      <c r="F59" s="45" t="s">
        <v>376</v>
      </c>
      <c r="G59" s="16"/>
      <c r="H59" s="62">
        <v>0</v>
      </c>
      <c r="I59" s="62">
        <v>-2.121</v>
      </c>
      <c r="J59" s="62">
        <v>-2.121</v>
      </c>
      <c r="K59" s="108">
        <v>0</v>
      </c>
      <c r="L59" s="108">
        <v>0</v>
      </c>
      <c r="M59" s="62">
        <v>0</v>
      </c>
      <c r="N59" s="62">
        <v>0</v>
      </c>
      <c r="O59" s="62">
        <v>0</v>
      </c>
      <c r="P59" s="62">
        <v>0</v>
      </c>
      <c r="Q59" s="62">
        <v>0</v>
      </c>
      <c r="R59" s="62">
        <v>0</v>
      </c>
      <c r="S59" s="62">
        <v>0</v>
      </c>
      <c r="T59" s="62">
        <v>0</v>
      </c>
      <c r="U59" s="62">
        <v>0</v>
      </c>
      <c r="V59" s="62">
        <v>0</v>
      </c>
      <c r="W59" s="62">
        <v>0</v>
      </c>
      <c r="X59" s="62">
        <v>0</v>
      </c>
      <c r="Y59" s="62">
        <v>0</v>
      </c>
      <c r="Z59" s="16"/>
      <c r="AA59" s="62">
        <v>0</v>
      </c>
      <c r="AB59" s="60">
        <v>0</v>
      </c>
      <c r="AD59" s="62">
        <v>0</v>
      </c>
      <c r="AE59" s="60">
        <v>0</v>
      </c>
    </row>
    <row r="60" spans="1:33" ht="8.25" customHeight="1" x14ac:dyDescent="0.2">
      <c r="A60" s="116"/>
      <c r="F60" s="8"/>
      <c r="G60" s="16"/>
      <c r="K60" s="8"/>
      <c r="L60" s="8"/>
      <c r="Z60" s="16"/>
      <c r="AB60" s="8"/>
      <c r="AE60" s="8"/>
    </row>
    <row r="61" spans="1:33" ht="18" customHeight="1" x14ac:dyDescent="0.2">
      <c r="A61" s="35"/>
      <c r="B61" s="32"/>
      <c r="C61" s="4">
        <v>0</v>
      </c>
      <c r="D61" s="4">
        <v>0</v>
      </c>
      <c r="F61" s="95" t="s">
        <v>234</v>
      </c>
      <c r="G61" s="16"/>
      <c r="H61" s="64">
        <v>0</v>
      </c>
      <c r="I61" s="64">
        <v>-2.121</v>
      </c>
      <c r="J61" s="64">
        <v>-2.121</v>
      </c>
      <c r="K61" s="89">
        <v>0</v>
      </c>
      <c r="L61" s="89">
        <v>0</v>
      </c>
      <c r="M61" s="64">
        <v>0</v>
      </c>
      <c r="N61" s="64">
        <v>0</v>
      </c>
      <c r="O61" s="64">
        <v>0</v>
      </c>
      <c r="P61" s="64">
        <v>0</v>
      </c>
      <c r="Q61" s="64">
        <v>0</v>
      </c>
      <c r="R61" s="64">
        <v>0</v>
      </c>
      <c r="S61" s="64">
        <v>0</v>
      </c>
      <c r="T61" s="64">
        <v>0</v>
      </c>
      <c r="U61" s="64">
        <v>0</v>
      </c>
      <c r="V61" s="64">
        <v>0</v>
      </c>
      <c r="W61" s="64">
        <v>0</v>
      </c>
      <c r="X61" s="64">
        <v>0</v>
      </c>
      <c r="Y61" s="64">
        <v>0</v>
      </c>
      <c r="Z61" s="16"/>
      <c r="AA61" s="64">
        <v>0</v>
      </c>
      <c r="AB61" s="60">
        <v>0</v>
      </c>
      <c r="AD61" s="64">
        <v>0</v>
      </c>
      <c r="AE61" s="60">
        <v>0</v>
      </c>
    </row>
    <row r="62" spans="1:33" ht="6.95" customHeight="1" x14ac:dyDescent="0.2">
      <c r="C62" s="4"/>
      <c r="D62" s="4"/>
      <c r="F62" s="96"/>
      <c r="G62" s="16"/>
      <c r="H62" s="16"/>
      <c r="I62" s="16"/>
      <c r="J62" s="16"/>
      <c r="K62" s="85"/>
      <c r="L62" s="85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20"/>
      <c r="AD62" s="16"/>
      <c r="AE62" s="20"/>
    </row>
    <row r="63" spans="1:33" s="36" customFormat="1" ht="18" customHeight="1" x14ac:dyDescent="0.2">
      <c r="A63" s="30" t="s">
        <v>21</v>
      </c>
      <c r="B63" s="30" t="s">
        <v>17</v>
      </c>
      <c r="C63" s="4">
        <v>0</v>
      </c>
      <c r="D63" s="4">
        <v>0</v>
      </c>
      <c r="E63" s="8"/>
      <c r="F63" s="104" t="s">
        <v>24</v>
      </c>
      <c r="G63" s="16"/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  <c r="Q63" s="65">
        <v>0</v>
      </c>
      <c r="R63" s="65">
        <v>0</v>
      </c>
      <c r="S63" s="65">
        <v>0</v>
      </c>
      <c r="T63" s="65">
        <v>0</v>
      </c>
      <c r="U63" s="65">
        <v>0</v>
      </c>
      <c r="V63" s="65">
        <v>0</v>
      </c>
      <c r="W63" s="65">
        <v>0</v>
      </c>
      <c r="X63" s="65">
        <v>0</v>
      </c>
      <c r="Y63" s="65">
        <v>0</v>
      </c>
      <c r="AA63" s="65">
        <v>0</v>
      </c>
      <c r="AB63" s="60">
        <v>0</v>
      </c>
      <c r="AD63" s="65">
        <v>0</v>
      </c>
      <c r="AE63" s="60">
        <v>0</v>
      </c>
    </row>
    <row r="64" spans="1:33" s="36" customFormat="1" ht="18" hidden="1" customHeight="1" outlineLevel="1" x14ac:dyDescent="0.2">
      <c r="A64" s="30" t="s">
        <v>119</v>
      </c>
      <c r="B64" s="30" t="s">
        <v>17</v>
      </c>
      <c r="C64" s="4">
        <v>0</v>
      </c>
      <c r="D64" s="4">
        <v>0</v>
      </c>
      <c r="E64" s="8"/>
      <c r="F64" s="38" t="s">
        <v>121</v>
      </c>
      <c r="G64" s="16"/>
      <c r="H64" s="66">
        <v>0</v>
      </c>
      <c r="I64" s="66">
        <v>-3.18</v>
      </c>
      <c r="J64" s="66">
        <v>-3.18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34"/>
      <c r="AA64" s="66">
        <v>0</v>
      </c>
      <c r="AB64" s="60">
        <v>0</v>
      </c>
      <c r="AC64" s="34"/>
      <c r="AD64" s="66">
        <v>0</v>
      </c>
      <c r="AE64" s="60">
        <v>0</v>
      </c>
    </row>
    <row r="65" spans="1:31" s="36" customFormat="1" ht="18" hidden="1" customHeight="1" outlineLevel="1" x14ac:dyDescent="0.2">
      <c r="A65" s="30" t="s">
        <v>120</v>
      </c>
      <c r="B65" s="30" t="s">
        <v>17</v>
      </c>
      <c r="C65" s="4">
        <v>0</v>
      </c>
      <c r="D65" s="4">
        <v>0</v>
      </c>
      <c r="E65" s="8"/>
      <c r="F65" s="38" t="s">
        <v>122</v>
      </c>
      <c r="G65" s="16"/>
      <c r="H65" s="66">
        <v>0</v>
      </c>
      <c r="I65" s="66">
        <v>-12.895</v>
      </c>
      <c r="J65" s="66">
        <v>-12.895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34"/>
      <c r="AA65" s="66">
        <v>0</v>
      </c>
      <c r="AB65" s="60">
        <v>0</v>
      </c>
      <c r="AC65" s="34"/>
      <c r="AD65" s="66">
        <v>0</v>
      </c>
      <c r="AE65" s="60">
        <v>0</v>
      </c>
    </row>
    <row r="66" spans="1:31" s="36" customFormat="1" ht="18" customHeight="1" collapsed="1" x14ac:dyDescent="0.2">
      <c r="A66" s="35"/>
      <c r="B66" s="35"/>
      <c r="C66" s="4">
        <v>0</v>
      </c>
      <c r="D66" s="4">
        <v>0</v>
      </c>
      <c r="E66" s="8"/>
      <c r="F66" s="104" t="s">
        <v>0</v>
      </c>
      <c r="G66" s="16"/>
      <c r="H66" s="65">
        <v>0</v>
      </c>
      <c r="I66" s="65">
        <v>-16.074999999999999</v>
      </c>
      <c r="J66" s="65">
        <v>-16.074999999999999</v>
      </c>
      <c r="K66" s="65">
        <v>0</v>
      </c>
      <c r="L66" s="65">
        <v>0</v>
      </c>
      <c r="M66" s="65">
        <v>0</v>
      </c>
      <c r="N66" s="65">
        <v>0</v>
      </c>
      <c r="O66" s="65">
        <v>0</v>
      </c>
      <c r="P66" s="65">
        <v>0</v>
      </c>
      <c r="Q66" s="65">
        <v>0</v>
      </c>
      <c r="R66" s="65">
        <v>0</v>
      </c>
      <c r="S66" s="65">
        <v>0</v>
      </c>
      <c r="T66" s="65">
        <v>0</v>
      </c>
      <c r="U66" s="65">
        <v>0</v>
      </c>
      <c r="V66" s="65">
        <v>0</v>
      </c>
      <c r="W66" s="65">
        <v>0</v>
      </c>
      <c r="X66" s="65">
        <v>0</v>
      </c>
      <c r="Y66" s="65">
        <v>0</v>
      </c>
      <c r="AA66" s="65">
        <v>0</v>
      </c>
      <c r="AB66" s="60">
        <v>0</v>
      </c>
      <c r="AD66" s="65">
        <v>0</v>
      </c>
      <c r="AE66" s="60">
        <v>0</v>
      </c>
    </row>
    <row r="67" spans="1:31" s="36" customFormat="1" ht="18" hidden="1" customHeight="1" outlineLevel="1" x14ac:dyDescent="0.2">
      <c r="A67" s="30" t="s">
        <v>131</v>
      </c>
      <c r="B67" s="30" t="s">
        <v>17</v>
      </c>
      <c r="C67" s="4">
        <v>0</v>
      </c>
      <c r="D67" s="4">
        <v>0</v>
      </c>
      <c r="E67" s="8"/>
      <c r="F67" s="38" t="s">
        <v>132</v>
      </c>
      <c r="G67" s="16"/>
      <c r="H67" s="66">
        <v>0</v>
      </c>
      <c r="I67" s="66">
        <v>0</v>
      </c>
      <c r="J67" s="66">
        <v>0</v>
      </c>
      <c r="K67" s="86">
        <v>0</v>
      </c>
      <c r="L67" s="8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34"/>
      <c r="AA67" s="66">
        <v>0</v>
      </c>
      <c r="AB67" s="60">
        <v>0</v>
      </c>
      <c r="AC67" s="34"/>
      <c r="AD67" s="66">
        <v>0</v>
      </c>
      <c r="AE67" s="60">
        <v>0</v>
      </c>
    </row>
    <row r="68" spans="1:31" s="36" customFormat="1" ht="18" hidden="1" customHeight="1" outlineLevel="1" x14ac:dyDescent="0.2">
      <c r="A68" s="30" t="s">
        <v>134</v>
      </c>
      <c r="B68" s="30" t="s">
        <v>17</v>
      </c>
      <c r="C68" s="4">
        <v>0</v>
      </c>
      <c r="D68" s="4">
        <v>0</v>
      </c>
      <c r="E68" s="8"/>
      <c r="F68" s="38" t="s">
        <v>133</v>
      </c>
      <c r="G68" s="16"/>
      <c r="H68" s="66">
        <v>0</v>
      </c>
      <c r="I68" s="66">
        <v>0</v>
      </c>
      <c r="J68" s="66">
        <v>0</v>
      </c>
      <c r="K68" s="86">
        <v>0</v>
      </c>
      <c r="L68" s="8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34"/>
      <c r="AA68" s="66">
        <v>0</v>
      </c>
      <c r="AB68" s="60">
        <v>0</v>
      </c>
      <c r="AC68" s="34"/>
      <c r="AD68" s="66">
        <v>0</v>
      </c>
      <c r="AE68" s="60">
        <v>0</v>
      </c>
    </row>
    <row r="69" spans="1:31" s="36" customFormat="1" ht="18" hidden="1" customHeight="1" outlineLevel="1" x14ac:dyDescent="0.2">
      <c r="A69" s="30" t="s">
        <v>135</v>
      </c>
      <c r="B69" s="30" t="s">
        <v>17</v>
      </c>
      <c r="C69" s="4">
        <v>0</v>
      </c>
      <c r="D69" s="4">
        <v>0</v>
      </c>
      <c r="E69" s="8"/>
      <c r="F69" s="38" t="s">
        <v>136</v>
      </c>
      <c r="G69" s="16"/>
      <c r="H69" s="66">
        <v>0</v>
      </c>
      <c r="I69" s="66">
        <v>0</v>
      </c>
      <c r="J69" s="66">
        <v>0</v>
      </c>
      <c r="K69" s="86">
        <v>0</v>
      </c>
      <c r="L69" s="8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34"/>
      <c r="AA69" s="66">
        <v>0</v>
      </c>
      <c r="AB69" s="60">
        <v>0</v>
      </c>
      <c r="AC69" s="34"/>
      <c r="AD69" s="66">
        <v>0</v>
      </c>
      <c r="AE69" s="60">
        <v>0</v>
      </c>
    </row>
    <row r="70" spans="1:31" s="36" customFormat="1" ht="18" hidden="1" customHeight="1" outlineLevel="1" x14ac:dyDescent="0.2">
      <c r="A70" s="30" t="s">
        <v>137</v>
      </c>
      <c r="B70" s="30" t="s">
        <v>17</v>
      </c>
      <c r="C70" s="4">
        <v>0</v>
      </c>
      <c r="D70" s="4">
        <v>0</v>
      </c>
      <c r="E70" s="8"/>
      <c r="F70" s="38" t="s">
        <v>138</v>
      </c>
      <c r="G70" s="16"/>
      <c r="H70" s="66">
        <v>0</v>
      </c>
      <c r="I70" s="66">
        <v>0</v>
      </c>
      <c r="J70" s="66">
        <v>0</v>
      </c>
      <c r="K70" s="86">
        <v>0</v>
      </c>
      <c r="L70" s="8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34"/>
      <c r="AA70" s="66">
        <v>0</v>
      </c>
      <c r="AB70" s="60">
        <v>0</v>
      </c>
      <c r="AC70" s="34"/>
      <c r="AD70" s="66">
        <v>0</v>
      </c>
      <c r="AE70" s="60">
        <v>0</v>
      </c>
    </row>
    <row r="71" spans="1:31" s="37" customFormat="1" ht="18" customHeight="1" collapsed="1" x14ac:dyDescent="0.2">
      <c r="A71" s="35"/>
      <c r="B71" s="35"/>
      <c r="C71" s="4">
        <v>0</v>
      </c>
      <c r="D71" s="4">
        <v>0</v>
      </c>
      <c r="E71" s="8"/>
      <c r="F71" s="105" t="s">
        <v>274</v>
      </c>
      <c r="G71" s="16"/>
      <c r="H71" s="67">
        <v>0</v>
      </c>
      <c r="I71" s="67">
        <v>0</v>
      </c>
      <c r="J71" s="67">
        <v>0</v>
      </c>
      <c r="K71" s="67">
        <v>0</v>
      </c>
      <c r="L71" s="67">
        <v>0</v>
      </c>
      <c r="M71" s="67">
        <v>0</v>
      </c>
      <c r="N71" s="67">
        <v>0</v>
      </c>
      <c r="O71" s="67">
        <v>0</v>
      </c>
      <c r="P71" s="67">
        <v>0</v>
      </c>
      <c r="Q71" s="67">
        <v>0</v>
      </c>
      <c r="R71" s="67">
        <v>0</v>
      </c>
      <c r="S71" s="67">
        <v>0</v>
      </c>
      <c r="T71" s="67">
        <v>0</v>
      </c>
      <c r="U71" s="67">
        <v>0</v>
      </c>
      <c r="V71" s="67">
        <v>0</v>
      </c>
      <c r="W71" s="67">
        <v>0</v>
      </c>
      <c r="X71" s="67">
        <v>0</v>
      </c>
      <c r="Y71" s="67">
        <v>0</v>
      </c>
      <c r="AA71" s="67">
        <v>0</v>
      </c>
      <c r="AB71" s="60">
        <v>0</v>
      </c>
      <c r="AD71" s="67">
        <v>0</v>
      </c>
      <c r="AE71" s="60">
        <v>0</v>
      </c>
    </row>
    <row r="72" spans="1:31" ht="6.95" customHeight="1" x14ac:dyDescent="0.2">
      <c r="C72" s="4"/>
      <c r="D72" s="4"/>
      <c r="F72" s="96"/>
      <c r="G72" s="16"/>
      <c r="H72" s="16"/>
      <c r="I72" s="16"/>
      <c r="J72" s="16"/>
      <c r="K72" s="85"/>
      <c r="L72" s="8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AA72" s="16"/>
      <c r="AB72" s="20"/>
      <c r="AD72" s="16"/>
      <c r="AE72" s="20"/>
    </row>
    <row r="73" spans="1:31" s="7" customFormat="1" ht="18" customHeight="1" x14ac:dyDescent="0.2">
      <c r="A73" s="276" t="s">
        <v>299</v>
      </c>
      <c r="B73" s="276" t="s">
        <v>17</v>
      </c>
      <c r="C73" s="252">
        <v>0</v>
      </c>
      <c r="D73" s="252">
        <v>0</v>
      </c>
      <c r="E73" s="253"/>
      <c r="F73" s="281" t="s">
        <v>448</v>
      </c>
      <c r="G73" s="16"/>
      <c r="H73" s="62">
        <v>0</v>
      </c>
      <c r="I73" s="62">
        <v>-18.195999999999998</v>
      </c>
      <c r="J73" s="62">
        <v>-18.195999999999998</v>
      </c>
      <c r="K73" s="108">
        <v>0</v>
      </c>
      <c r="L73" s="108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62">
        <v>0</v>
      </c>
      <c r="V73" s="62">
        <v>0</v>
      </c>
      <c r="W73" s="62">
        <v>0</v>
      </c>
      <c r="X73" s="62">
        <v>0</v>
      </c>
      <c r="Y73" s="62">
        <v>0</v>
      </c>
      <c r="Z73" s="16"/>
      <c r="AA73" s="62">
        <v>0</v>
      </c>
      <c r="AB73" s="256">
        <v>0</v>
      </c>
      <c r="AD73" s="62">
        <v>0</v>
      </c>
      <c r="AE73" s="256">
        <v>0</v>
      </c>
    </row>
    <row r="74" spans="1:31" s="253" customFormat="1" ht="8.25" customHeight="1" x14ac:dyDescent="0.2">
      <c r="A74" s="116"/>
      <c r="G74" s="16"/>
      <c r="Z74" s="16"/>
    </row>
    <row r="75" spans="1:31" ht="18" customHeight="1" x14ac:dyDescent="0.2">
      <c r="A75" s="30" t="s">
        <v>206</v>
      </c>
      <c r="B75" s="30" t="s">
        <v>38</v>
      </c>
      <c r="C75" s="4">
        <v>0</v>
      </c>
      <c r="D75" s="4">
        <v>0</v>
      </c>
      <c r="F75" s="106" t="s">
        <v>377</v>
      </c>
      <c r="H75" s="61">
        <v>-661.10500000000002</v>
      </c>
      <c r="I75" s="61">
        <v>-9.8940000000000001</v>
      </c>
      <c r="J75" s="61">
        <v>-9.8940000000000001</v>
      </c>
      <c r="K75" s="86">
        <v>0</v>
      </c>
      <c r="L75" s="86">
        <v>0</v>
      </c>
      <c r="M75" s="61">
        <v>0</v>
      </c>
      <c r="N75" s="61">
        <v>0</v>
      </c>
      <c r="O75" s="61">
        <v>0</v>
      </c>
      <c r="P75" s="61">
        <v>0</v>
      </c>
      <c r="Q75" s="61">
        <v>0</v>
      </c>
      <c r="R75" s="61">
        <v>0</v>
      </c>
      <c r="S75" s="61">
        <v>0</v>
      </c>
      <c r="T75" s="61">
        <v>0</v>
      </c>
      <c r="U75" s="61">
        <v>0</v>
      </c>
      <c r="V75" s="61">
        <v>0</v>
      </c>
      <c r="W75" s="61">
        <v>0</v>
      </c>
      <c r="X75" s="61">
        <v>0</v>
      </c>
      <c r="Y75" s="61">
        <v>0</v>
      </c>
      <c r="AA75" s="61">
        <v>0</v>
      </c>
      <c r="AB75" s="60">
        <v>0</v>
      </c>
      <c r="AD75" s="61">
        <v>0</v>
      </c>
      <c r="AE75" s="60">
        <v>0</v>
      </c>
    </row>
    <row r="76" spans="1:31" ht="18" customHeight="1" x14ac:dyDescent="0.2">
      <c r="A76" s="30" t="s">
        <v>42</v>
      </c>
      <c r="B76" s="30" t="s">
        <v>17</v>
      </c>
      <c r="C76" s="4">
        <v>0</v>
      </c>
      <c r="D76" s="4">
        <v>0</v>
      </c>
      <c r="F76" s="106" t="s">
        <v>207</v>
      </c>
      <c r="H76" s="61">
        <v>0</v>
      </c>
      <c r="I76" s="61">
        <v>0</v>
      </c>
      <c r="J76" s="61">
        <v>0</v>
      </c>
      <c r="K76" s="86">
        <v>0</v>
      </c>
      <c r="L76" s="86">
        <v>0</v>
      </c>
      <c r="M76" s="61">
        <v>0</v>
      </c>
      <c r="N76" s="61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AA76" s="61">
        <v>0</v>
      </c>
      <c r="AB76" s="60">
        <v>0</v>
      </c>
      <c r="AD76" s="61">
        <v>0</v>
      </c>
      <c r="AE76" s="60">
        <v>0</v>
      </c>
    </row>
    <row r="77" spans="1:31" ht="18" customHeight="1" collapsed="1" x14ac:dyDescent="0.2">
      <c r="A77" s="35"/>
      <c r="B77" s="35"/>
      <c r="C77" s="4">
        <v>0</v>
      </c>
      <c r="D77" s="4">
        <v>0</v>
      </c>
      <c r="F77" s="45" t="s">
        <v>41</v>
      </c>
      <c r="H77" s="62">
        <v>-661.10500000000002</v>
      </c>
      <c r="I77" s="62">
        <v>-9.8940000000000001</v>
      </c>
      <c r="J77" s="62">
        <v>-9.8940000000000001</v>
      </c>
      <c r="K77" s="108">
        <v>0</v>
      </c>
      <c r="L77" s="108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AA77" s="62">
        <v>0</v>
      </c>
      <c r="AB77" s="60">
        <v>0</v>
      </c>
      <c r="AD77" s="62">
        <v>0</v>
      </c>
      <c r="AE77" s="60">
        <v>0</v>
      </c>
    </row>
    <row r="78" spans="1:31" ht="12.95" customHeight="1" x14ac:dyDescent="0.2">
      <c r="A78" s="35"/>
      <c r="B78" s="35"/>
      <c r="C78" s="4"/>
      <c r="D78" s="4"/>
      <c r="F78" s="39" t="s">
        <v>227</v>
      </c>
      <c r="H78" s="56">
        <v>0</v>
      </c>
      <c r="I78" s="56">
        <v>0</v>
      </c>
      <c r="J78" s="56">
        <v>0</v>
      </c>
      <c r="K78" s="109">
        <v>0</v>
      </c>
      <c r="L78" s="109">
        <v>0</v>
      </c>
      <c r="M78" s="56">
        <v>0</v>
      </c>
      <c r="N78" s="56">
        <v>0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0</v>
      </c>
      <c r="AA78" s="56">
        <v>0</v>
      </c>
      <c r="AB78" s="57"/>
      <c r="AD78" s="56">
        <v>0</v>
      </c>
      <c r="AE78" s="57"/>
    </row>
    <row r="79" spans="1:31" ht="18" customHeight="1" x14ac:dyDescent="0.2">
      <c r="A79" s="30" t="s">
        <v>39</v>
      </c>
      <c r="B79" s="30" t="s">
        <v>17</v>
      </c>
      <c r="C79" s="4">
        <v>0</v>
      </c>
      <c r="D79" s="4">
        <v>0</v>
      </c>
      <c r="F79" s="45" t="s">
        <v>40</v>
      </c>
      <c r="H79" s="62">
        <v>0</v>
      </c>
      <c r="I79" s="62">
        <v>0</v>
      </c>
      <c r="J79" s="62">
        <v>0</v>
      </c>
      <c r="K79" s="108">
        <v>0</v>
      </c>
      <c r="L79" s="108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0</v>
      </c>
      <c r="V79" s="62">
        <v>0</v>
      </c>
      <c r="W79" s="62">
        <v>0</v>
      </c>
      <c r="X79" s="62">
        <v>0</v>
      </c>
      <c r="Y79" s="62">
        <v>0</v>
      </c>
      <c r="AA79" s="62">
        <v>0</v>
      </c>
      <c r="AB79" s="60">
        <v>0</v>
      </c>
      <c r="AD79" s="62">
        <v>0</v>
      </c>
      <c r="AE79" s="60">
        <v>0</v>
      </c>
    </row>
    <row r="80" spans="1:31" ht="12.95" customHeight="1" x14ac:dyDescent="0.2">
      <c r="A80" s="35"/>
      <c r="B80" s="35"/>
      <c r="C80" s="4"/>
      <c r="D80" s="4"/>
      <c r="F80" s="39" t="s">
        <v>228</v>
      </c>
      <c r="H80" s="56">
        <v>0</v>
      </c>
      <c r="I80" s="56">
        <v>0</v>
      </c>
      <c r="J80" s="56">
        <v>0</v>
      </c>
      <c r="K80" s="109">
        <v>0</v>
      </c>
      <c r="L80" s="109">
        <v>0</v>
      </c>
      <c r="M80" s="56">
        <v>0</v>
      </c>
      <c r="N80" s="56">
        <v>0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AA80" s="56">
        <v>0</v>
      </c>
      <c r="AB80" s="57"/>
      <c r="AD80" s="56">
        <v>0</v>
      </c>
      <c r="AE80" s="57"/>
    </row>
    <row r="81" spans="1:31" ht="18" hidden="1" customHeight="1" outlineLevel="1" x14ac:dyDescent="0.2">
      <c r="A81" s="30" t="s">
        <v>209</v>
      </c>
      <c r="B81" s="30" t="s">
        <v>17</v>
      </c>
      <c r="C81" s="4">
        <v>0</v>
      </c>
      <c r="D81" s="4">
        <v>0</v>
      </c>
      <c r="F81" s="106" t="s">
        <v>210</v>
      </c>
      <c r="H81" s="61">
        <v>0</v>
      </c>
      <c r="I81" s="61">
        <v>0</v>
      </c>
      <c r="J81" s="61">
        <v>0</v>
      </c>
      <c r="K81" s="86">
        <v>0</v>
      </c>
      <c r="L81" s="86">
        <v>0</v>
      </c>
      <c r="M81" s="61">
        <v>0</v>
      </c>
      <c r="N81" s="61">
        <v>0</v>
      </c>
      <c r="O81" s="61">
        <v>0</v>
      </c>
      <c r="P81" s="61">
        <v>0</v>
      </c>
      <c r="Q81" s="61">
        <v>0</v>
      </c>
      <c r="R81" s="61">
        <v>0</v>
      </c>
      <c r="S81" s="61">
        <v>0</v>
      </c>
      <c r="T81" s="61">
        <v>0</v>
      </c>
      <c r="U81" s="61">
        <v>0</v>
      </c>
      <c r="V81" s="61">
        <v>0</v>
      </c>
      <c r="W81" s="61">
        <v>0</v>
      </c>
      <c r="X81" s="61">
        <v>0</v>
      </c>
      <c r="Y81" s="61">
        <v>0</v>
      </c>
      <c r="AA81" s="61">
        <v>0</v>
      </c>
      <c r="AB81" s="60">
        <v>0</v>
      </c>
      <c r="AD81" s="61">
        <v>0</v>
      </c>
      <c r="AE81" s="60">
        <v>0</v>
      </c>
    </row>
    <row r="82" spans="1:31" ht="18" hidden="1" customHeight="1" outlineLevel="1" x14ac:dyDescent="0.2">
      <c r="A82" s="30" t="s">
        <v>206</v>
      </c>
      <c r="B82" s="30" t="s">
        <v>205</v>
      </c>
      <c r="C82" s="4">
        <v>0</v>
      </c>
      <c r="D82" s="4">
        <v>0</v>
      </c>
      <c r="F82" s="106" t="s">
        <v>208</v>
      </c>
      <c r="H82" s="61">
        <v>0</v>
      </c>
      <c r="I82" s="61">
        <v>0</v>
      </c>
      <c r="J82" s="61">
        <v>0</v>
      </c>
      <c r="K82" s="86">
        <v>0</v>
      </c>
      <c r="L82" s="86">
        <v>0</v>
      </c>
      <c r="M82" s="61">
        <v>0</v>
      </c>
      <c r="N82" s="61">
        <v>0</v>
      </c>
      <c r="O82" s="61">
        <v>0</v>
      </c>
      <c r="P82" s="61">
        <v>0</v>
      </c>
      <c r="Q82" s="61">
        <v>0</v>
      </c>
      <c r="R82" s="61">
        <v>0</v>
      </c>
      <c r="S82" s="61">
        <v>0</v>
      </c>
      <c r="T82" s="61">
        <v>0</v>
      </c>
      <c r="U82" s="61">
        <v>0</v>
      </c>
      <c r="V82" s="61">
        <v>0</v>
      </c>
      <c r="W82" s="61">
        <v>0</v>
      </c>
      <c r="X82" s="61">
        <v>0</v>
      </c>
      <c r="Y82" s="61">
        <v>0</v>
      </c>
      <c r="AA82" s="61">
        <v>0</v>
      </c>
      <c r="AB82" s="60">
        <v>0</v>
      </c>
      <c r="AD82" s="61">
        <v>0</v>
      </c>
      <c r="AE82" s="60">
        <v>0</v>
      </c>
    </row>
    <row r="83" spans="1:31" ht="18" customHeight="1" collapsed="1" x14ac:dyDescent="0.2">
      <c r="A83" s="35"/>
      <c r="B83" s="35"/>
      <c r="C83" s="4">
        <v>0</v>
      </c>
      <c r="D83" s="4">
        <v>0</v>
      </c>
      <c r="F83" s="45" t="s">
        <v>314</v>
      </c>
      <c r="H83" s="62">
        <v>0</v>
      </c>
      <c r="I83" s="62">
        <v>0</v>
      </c>
      <c r="J83" s="62">
        <v>0</v>
      </c>
      <c r="K83" s="108">
        <v>0</v>
      </c>
      <c r="L83" s="108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AA83" s="62">
        <v>0</v>
      </c>
      <c r="AB83" s="60">
        <v>0</v>
      </c>
      <c r="AD83" s="62">
        <v>0</v>
      </c>
      <c r="AE83" s="60">
        <v>0</v>
      </c>
    </row>
    <row r="84" spans="1:31" ht="12.95" customHeight="1" x14ac:dyDescent="0.2">
      <c r="A84" s="35"/>
      <c r="B84" s="35"/>
      <c r="C84" s="4"/>
      <c r="D84" s="4"/>
      <c r="F84" s="39" t="s">
        <v>222</v>
      </c>
      <c r="H84" s="56">
        <v>0</v>
      </c>
      <c r="I84" s="56">
        <v>0</v>
      </c>
      <c r="J84" s="56">
        <v>0</v>
      </c>
      <c r="K84" s="109">
        <v>0</v>
      </c>
      <c r="L84" s="109">
        <v>0</v>
      </c>
      <c r="M84" s="56">
        <v>0</v>
      </c>
      <c r="N84" s="56">
        <v>0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0</v>
      </c>
      <c r="AA84" s="56">
        <v>0</v>
      </c>
      <c r="AB84" s="57"/>
      <c r="AD84" s="56">
        <v>0</v>
      </c>
      <c r="AE84" s="57"/>
    </row>
    <row r="85" spans="1:31" ht="18" hidden="1" customHeight="1" outlineLevel="2" x14ac:dyDescent="0.2">
      <c r="A85" s="33" t="s">
        <v>43</v>
      </c>
      <c r="B85" s="33" t="s">
        <v>17</v>
      </c>
      <c r="C85" s="4"/>
      <c r="D85" s="4"/>
      <c r="F85" s="38" t="s">
        <v>44</v>
      </c>
      <c r="H85" s="66">
        <v>0</v>
      </c>
      <c r="I85" s="66">
        <v>0</v>
      </c>
      <c r="J85" s="66">
        <v>0</v>
      </c>
      <c r="K85" s="86"/>
      <c r="L85" s="86"/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AA85" s="70"/>
      <c r="AB85" s="71"/>
      <c r="AD85" s="70"/>
      <c r="AE85" s="71"/>
    </row>
    <row r="86" spans="1:31" ht="18" hidden="1" customHeight="1" outlineLevel="2" x14ac:dyDescent="0.2">
      <c r="A86" s="33" t="s">
        <v>43</v>
      </c>
      <c r="B86" s="33" t="s">
        <v>17</v>
      </c>
      <c r="C86" s="4"/>
      <c r="D86" s="4"/>
      <c r="F86" s="38" t="s">
        <v>45</v>
      </c>
      <c r="H86" s="66">
        <v>0</v>
      </c>
      <c r="I86" s="66">
        <v>0</v>
      </c>
      <c r="J86" s="66">
        <v>0</v>
      </c>
      <c r="K86" s="86"/>
      <c r="L86" s="86"/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AA86" s="70"/>
      <c r="AB86" s="71"/>
      <c r="AD86" s="70"/>
      <c r="AE86" s="71"/>
    </row>
    <row r="87" spans="1:31" ht="18" hidden="1" customHeight="1" outlineLevel="2" x14ac:dyDescent="0.2">
      <c r="A87" s="33" t="s">
        <v>46</v>
      </c>
      <c r="B87" s="33" t="s">
        <v>17</v>
      </c>
      <c r="C87" s="4">
        <v>0</v>
      </c>
      <c r="D87" s="4">
        <v>0</v>
      </c>
      <c r="F87" s="38" t="s">
        <v>47</v>
      </c>
      <c r="H87" s="66">
        <v>-27.789000000000001</v>
      </c>
      <c r="I87" s="66">
        <v>24.286999999999999</v>
      </c>
      <c r="J87" s="66">
        <v>24.286999999999999</v>
      </c>
      <c r="K87" s="86">
        <v>0</v>
      </c>
      <c r="L87" s="8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AA87" s="66">
        <v>0</v>
      </c>
      <c r="AB87" s="65">
        <v>0</v>
      </c>
      <c r="AD87" s="66">
        <v>0</v>
      </c>
      <c r="AE87" s="65">
        <v>0</v>
      </c>
    </row>
    <row r="88" spans="1:31" ht="18" hidden="1" customHeight="1" outlineLevel="1" x14ac:dyDescent="0.2">
      <c r="A88" s="35"/>
      <c r="B88" s="35"/>
      <c r="C88" s="4">
        <v>0</v>
      </c>
      <c r="D88" s="4">
        <v>0</v>
      </c>
      <c r="F88" s="106" t="s">
        <v>48</v>
      </c>
      <c r="H88" s="61">
        <v>-27.789000000000001</v>
      </c>
      <c r="I88" s="61">
        <v>24.286999999999999</v>
      </c>
      <c r="J88" s="61">
        <v>24.286999999999999</v>
      </c>
      <c r="K88" s="86">
        <v>0</v>
      </c>
      <c r="L88" s="86">
        <v>0</v>
      </c>
      <c r="M88" s="61">
        <v>0</v>
      </c>
      <c r="N88" s="61">
        <v>0</v>
      </c>
      <c r="O88" s="61">
        <v>0</v>
      </c>
      <c r="P88" s="61">
        <v>0</v>
      </c>
      <c r="Q88" s="61">
        <v>0</v>
      </c>
      <c r="R88" s="61">
        <v>0</v>
      </c>
      <c r="S88" s="61">
        <v>0</v>
      </c>
      <c r="T88" s="61">
        <v>0</v>
      </c>
      <c r="U88" s="61">
        <v>0</v>
      </c>
      <c r="V88" s="61">
        <v>0</v>
      </c>
      <c r="W88" s="61">
        <v>0</v>
      </c>
      <c r="X88" s="61">
        <v>0</v>
      </c>
      <c r="Y88" s="61">
        <v>0</v>
      </c>
      <c r="AA88" s="61">
        <v>0</v>
      </c>
      <c r="AB88" s="60">
        <v>0</v>
      </c>
      <c r="AD88" s="61">
        <v>0</v>
      </c>
      <c r="AE88" s="60">
        <v>0</v>
      </c>
    </row>
    <row r="89" spans="1:31" ht="18" hidden="1" customHeight="1" outlineLevel="1" x14ac:dyDescent="0.2">
      <c r="A89" s="30" t="s">
        <v>50</v>
      </c>
      <c r="B89" s="30" t="s">
        <v>17</v>
      </c>
      <c r="C89" s="4">
        <v>0</v>
      </c>
      <c r="D89" s="4">
        <v>0</v>
      </c>
      <c r="F89" s="106" t="s">
        <v>52</v>
      </c>
      <c r="H89" s="61">
        <v>0</v>
      </c>
      <c r="I89" s="61">
        <v>0</v>
      </c>
      <c r="J89" s="61">
        <v>0</v>
      </c>
      <c r="K89" s="86">
        <v>0</v>
      </c>
      <c r="L89" s="86">
        <v>0</v>
      </c>
      <c r="M89" s="61">
        <v>0</v>
      </c>
      <c r="N89" s="61">
        <v>0</v>
      </c>
      <c r="O89" s="61">
        <v>0</v>
      </c>
      <c r="P89" s="61">
        <v>0</v>
      </c>
      <c r="Q89" s="61">
        <v>0</v>
      </c>
      <c r="R89" s="61">
        <v>0</v>
      </c>
      <c r="S89" s="61">
        <v>0</v>
      </c>
      <c r="T89" s="61">
        <v>0</v>
      </c>
      <c r="U89" s="61">
        <v>0</v>
      </c>
      <c r="V89" s="61">
        <v>0</v>
      </c>
      <c r="W89" s="61">
        <v>0</v>
      </c>
      <c r="X89" s="61">
        <v>0</v>
      </c>
      <c r="Y89" s="61">
        <v>0</v>
      </c>
      <c r="AA89" s="61">
        <v>0</v>
      </c>
      <c r="AB89" s="60">
        <v>0</v>
      </c>
      <c r="AD89" s="61">
        <v>0</v>
      </c>
      <c r="AE89" s="60">
        <v>0</v>
      </c>
    </row>
    <row r="90" spans="1:31" ht="18" hidden="1" customHeight="1" outlineLevel="1" x14ac:dyDescent="0.2">
      <c r="A90" s="30" t="s">
        <v>49</v>
      </c>
      <c r="B90" s="30" t="s">
        <v>17</v>
      </c>
      <c r="C90" s="4">
        <v>0</v>
      </c>
      <c r="D90" s="4">
        <v>0</v>
      </c>
      <c r="F90" s="106" t="s">
        <v>51</v>
      </c>
      <c r="H90" s="61">
        <v>0</v>
      </c>
      <c r="I90" s="61">
        <v>0</v>
      </c>
      <c r="J90" s="61">
        <v>0</v>
      </c>
      <c r="K90" s="86">
        <v>0</v>
      </c>
      <c r="L90" s="86">
        <v>0</v>
      </c>
      <c r="M90" s="61">
        <v>0</v>
      </c>
      <c r="N90" s="61">
        <v>0</v>
      </c>
      <c r="O90" s="61">
        <v>0</v>
      </c>
      <c r="P90" s="61">
        <v>0</v>
      </c>
      <c r="Q90" s="61">
        <v>0</v>
      </c>
      <c r="R90" s="61">
        <v>0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0</v>
      </c>
      <c r="Y90" s="61">
        <v>0</v>
      </c>
      <c r="AA90" s="61">
        <v>0</v>
      </c>
      <c r="AB90" s="60">
        <v>0</v>
      </c>
      <c r="AD90" s="61">
        <v>0</v>
      </c>
      <c r="AE90" s="60">
        <v>0</v>
      </c>
    </row>
    <row r="91" spans="1:31" ht="18" hidden="1" customHeight="1" outlineLevel="1" x14ac:dyDescent="0.2">
      <c r="A91" s="30" t="s">
        <v>213</v>
      </c>
      <c r="B91" s="30" t="s">
        <v>17</v>
      </c>
      <c r="C91" s="4">
        <v>-1</v>
      </c>
      <c r="D91" s="4">
        <v>-1</v>
      </c>
      <c r="F91" s="106" t="s">
        <v>215</v>
      </c>
      <c r="H91" s="61">
        <v>-6.8000000000000005E-2</v>
      </c>
      <c r="I91" s="61">
        <v>-0.82</v>
      </c>
      <c r="J91" s="61">
        <v>-0.82</v>
      </c>
      <c r="K91" s="86">
        <v>0</v>
      </c>
      <c r="L91" s="86">
        <v>0</v>
      </c>
      <c r="M91" s="61">
        <v>0</v>
      </c>
      <c r="N91" s="61">
        <v>0</v>
      </c>
      <c r="O91" s="61">
        <v>0</v>
      </c>
      <c r="P91" s="61">
        <v>0</v>
      </c>
      <c r="Q91" s="61">
        <v>0</v>
      </c>
      <c r="R91" s="61">
        <v>0</v>
      </c>
      <c r="S91" s="61">
        <v>-0.03</v>
      </c>
      <c r="T91" s="61">
        <v>0</v>
      </c>
      <c r="U91" s="61">
        <v>0</v>
      </c>
      <c r="V91" s="61">
        <v>0</v>
      </c>
      <c r="W91" s="61">
        <v>0</v>
      </c>
      <c r="X91" s="61">
        <v>0</v>
      </c>
      <c r="Y91" s="61">
        <v>-0.03</v>
      </c>
      <c r="AA91" s="61">
        <v>0</v>
      </c>
      <c r="AB91" s="60">
        <v>-0.03</v>
      </c>
      <c r="AD91" s="61">
        <v>0</v>
      </c>
      <c r="AE91" s="60">
        <v>-0.03</v>
      </c>
    </row>
    <row r="92" spans="1:31" ht="18" hidden="1" customHeight="1" outlineLevel="1" x14ac:dyDescent="0.2">
      <c r="A92" s="30" t="s">
        <v>214</v>
      </c>
      <c r="B92" s="30" t="s">
        <v>17</v>
      </c>
      <c r="C92" s="4">
        <v>0</v>
      </c>
      <c r="D92" s="4">
        <v>0</v>
      </c>
      <c r="F92" s="106" t="s">
        <v>216</v>
      </c>
      <c r="H92" s="61">
        <v>0</v>
      </c>
      <c r="I92" s="61">
        <v>0</v>
      </c>
      <c r="J92" s="61">
        <v>0</v>
      </c>
      <c r="K92" s="86">
        <v>0</v>
      </c>
      <c r="L92" s="86">
        <v>0</v>
      </c>
      <c r="M92" s="61">
        <v>0</v>
      </c>
      <c r="N92" s="61">
        <v>0</v>
      </c>
      <c r="O92" s="61">
        <v>0</v>
      </c>
      <c r="P92" s="61">
        <v>0</v>
      </c>
      <c r="Q92" s="61">
        <v>0</v>
      </c>
      <c r="R92" s="61">
        <v>0</v>
      </c>
      <c r="S92" s="61">
        <v>0</v>
      </c>
      <c r="T92" s="61">
        <v>0</v>
      </c>
      <c r="U92" s="61">
        <v>0</v>
      </c>
      <c r="V92" s="61">
        <v>0</v>
      </c>
      <c r="W92" s="61">
        <v>0</v>
      </c>
      <c r="X92" s="61">
        <v>0</v>
      </c>
      <c r="Y92" s="61">
        <v>0</v>
      </c>
      <c r="AA92" s="61">
        <v>0</v>
      </c>
      <c r="AB92" s="60">
        <v>0</v>
      </c>
      <c r="AD92" s="61">
        <v>0</v>
      </c>
      <c r="AE92" s="60">
        <v>0</v>
      </c>
    </row>
    <row r="93" spans="1:31" ht="18" hidden="1" customHeight="1" outlineLevel="2" x14ac:dyDescent="0.2">
      <c r="A93" s="33" t="s">
        <v>53</v>
      </c>
      <c r="B93" s="33" t="s">
        <v>17</v>
      </c>
      <c r="C93" s="4">
        <v>-0.99997772506042071</v>
      </c>
      <c r="D93" s="4">
        <v>-0.99997772506042071</v>
      </c>
      <c r="F93" s="38" t="s">
        <v>55</v>
      </c>
      <c r="H93" s="66">
        <v>0</v>
      </c>
      <c r="I93" s="66">
        <v>0</v>
      </c>
      <c r="J93" s="66">
        <v>0</v>
      </c>
      <c r="K93" s="86">
        <v>0</v>
      </c>
      <c r="L93" s="8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-179.57400000000001</v>
      </c>
      <c r="W93" s="66">
        <v>0</v>
      </c>
      <c r="X93" s="66">
        <v>0</v>
      </c>
      <c r="Y93" s="66">
        <v>-179.57400000000001</v>
      </c>
      <c r="AA93" s="66">
        <v>0</v>
      </c>
      <c r="AB93" s="60">
        <v>-179.57</v>
      </c>
      <c r="AD93" s="66">
        <v>0</v>
      </c>
      <c r="AE93" s="60">
        <v>-179.57</v>
      </c>
    </row>
    <row r="94" spans="1:31" ht="18" hidden="1" customHeight="1" outlineLevel="2" x14ac:dyDescent="0.2">
      <c r="A94" s="33" t="s">
        <v>54</v>
      </c>
      <c r="B94" s="33" t="s">
        <v>17</v>
      </c>
      <c r="C94" s="4">
        <v>0</v>
      </c>
      <c r="D94" s="4">
        <v>0</v>
      </c>
      <c r="F94" s="38" t="s">
        <v>56</v>
      </c>
      <c r="H94" s="66">
        <v>0</v>
      </c>
      <c r="I94" s="66">
        <v>0</v>
      </c>
      <c r="J94" s="66">
        <v>0</v>
      </c>
      <c r="K94" s="86">
        <v>0</v>
      </c>
      <c r="L94" s="8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AA94" s="66">
        <v>0</v>
      </c>
      <c r="AB94" s="60">
        <v>0</v>
      </c>
      <c r="AD94" s="66">
        <v>0</v>
      </c>
      <c r="AE94" s="60">
        <v>0</v>
      </c>
    </row>
    <row r="95" spans="1:31" ht="18" hidden="1" customHeight="1" outlineLevel="1" x14ac:dyDescent="0.2">
      <c r="A95" s="35"/>
      <c r="B95" s="35"/>
      <c r="C95" s="4">
        <v>1.0010881392818354</v>
      </c>
      <c r="D95" s="4">
        <v>1.0010881392818354</v>
      </c>
      <c r="F95" s="106" t="s">
        <v>58</v>
      </c>
      <c r="H95" s="61">
        <v>-0.49399999999999761</v>
      </c>
      <c r="I95" s="61">
        <v>-27.64</v>
      </c>
      <c r="J95" s="61">
        <v>-27.64</v>
      </c>
      <c r="K95" s="86">
        <v>0</v>
      </c>
      <c r="L95" s="86">
        <v>0</v>
      </c>
      <c r="M95" s="61">
        <v>0</v>
      </c>
      <c r="N95" s="61">
        <v>0</v>
      </c>
      <c r="O95" s="61">
        <v>0</v>
      </c>
      <c r="P95" s="61">
        <v>0</v>
      </c>
      <c r="Q95" s="61">
        <v>0</v>
      </c>
      <c r="R95" s="61">
        <v>0</v>
      </c>
      <c r="S95" s="61">
        <v>0</v>
      </c>
      <c r="T95" s="61">
        <v>-5.1000000000000004E-2</v>
      </c>
      <c r="U95" s="61">
        <v>0.37</v>
      </c>
      <c r="V95" s="61">
        <v>2.3199999999999901</v>
      </c>
      <c r="W95" s="61">
        <v>0.11799999999998967</v>
      </c>
      <c r="X95" s="61">
        <v>0</v>
      </c>
      <c r="Y95" s="61">
        <v>2.7569999999999797</v>
      </c>
      <c r="AA95" s="61">
        <v>0</v>
      </c>
      <c r="AB95" s="60">
        <v>2.76</v>
      </c>
      <c r="AD95" s="61">
        <v>0</v>
      </c>
      <c r="AE95" s="60">
        <v>2.76</v>
      </c>
    </row>
    <row r="96" spans="1:31" ht="18" customHeight="1" collapsed="1" x14ac:dyDescent="0.2">
      <c r="A96" s="35"/>
      <c r="B96" s="35"/>
      <c r="C96" s="4">
        <v>1.0011001100110084</v>
      </c>
      <c r="D96" s="4">
        <v>1.0011001100110084</v>
      </c>
      <c r="F96" s="45" t="s">
        <v>26</v>
      </c>
      <c r="H96" s="62">
        <v>-28.350999999999999</v>
      </c>
      <c r="I96" s="62">
        <v>-4.173</v>
      </c>
      <c r="J96" s="62">
        <v>-4.173</v>
      </c>
      <c r="K96" s="108">
        <v>0</v>
      </c>
      <c r="L96" s="108">
        <v>0</v>
      </c>
      <c r="M96" s="62">
        <v>0</v>
      </c>
      <c r="N96" s="62">
        <v>0</v>
      </c>
      <c r="O96" s="62">
        <v>0</v>
      </c>
      <c r="P96" s="62">
        <v>0</v>
      </c>
      <c r="Q96" s="62">
        <v>0</v>
      </c>
      <c r="R96" s="62">
        <v>0</v>
      </c>
      <c r="S96" s="62">
        <v>-0.03</v>
      </c>
      <c r="T96" s="62">
        <v>-5.1000000000000004E-2</v>
      </c>
      <c r="U96" s="62">
        <v>0.37</v>
      </c>
      <c r="V96" s="62">
        <v>2.3199999999999901</v>
      </c>
      <c r="W96" s="62">
        <v>0.11799999999998967</v>
      </c>
      <c r="X96" s="62">
        <v>0</v>
      </c>
      <c r="Y96" s="62">
        <v>2.7269999999999799</v>
      </c>
      <c r="AA96" s="62">
        <v>0</v>
      </c>
      <c r="AB96" s="60">
        <v>2.73</v>
      </c>
      <c r="AD96" s="62">
        <v>0</v>
      </c>
      <c r="AE96" s="60">
        <v>2.73</v>
      </c>
    </row>
    <row r="97" spans="1:31" ht="18" customHeight="1" x14ac:dyDescent="0.2">
      <c r="A97" s="30" t="s">
        <v>16</v>
      </c>
      <c r="B97" s="30" t="s">
        <v>17</v>
      </c>
      <c r="C97" s="4">
        <v>1.0011001100110084</v>
      </c>
      <c r="D97" s="4">
        <v>1.0011001100110084</v>
      </c>
      <c r="F97" s="95" t="s">
        <v>118</v>
      </c>
      <c r="H97" s="64">
        <v>-689.45600000000002</v>
      </c>
      <c r="I97" s="64">
        <v>-14.067</v>
      </c>
      <c r="J97" s="64">
        <v>-14.067</v>
      </c>
      <c r="K97" s="89">
        <v>0</v>
      </c>
      <c r="L97" s="89">
        <v>0</v>
      </c>
      <c r="M97" s="64">
        <v>0</v>
      </c>
      <c r="N97" s="64">
        <v>0</v>
      </c>
      <c r="O97" s="64">
        <v>0</v>
      </c>
      <c r="P97" s="64">
        <v>0</v>
      </c>
      <c r="Q97" s="64">
        <v>0</v>
      </c>
      <c r="R97" s="64">
        <v>0</v>
      </c>
      <c r="S97" s="64">
        <v>-0.03</v>
      </c>
      <c r="T97" s="64">
        <v>-5.1000000000000004E-2</v>
      </c>
      <c r="U97" s="64">
        <v>0.37</v>
      </c>
      <c r="V97" s="64">
        <v>2.3199999999999901</v>
      </c>
      <c r="W97" s="64">
        <v>0.11799999999998967</v>
      </c>
      <c r="X97" s="64">
        <v>0</v>
      </c>
      <c r="Y97" s="64">
        <v>2.7269999999999799</v>
      </c>
      <c r="AA97" s="64">
        <v>0</v>
      </c>
      <c r="AB97" s="60">
        <v>2.73</v>
      </c>
      <c r="AD97" s="64">
        <v>0</v>
      </c>
      <c r="AE97" s="60">
        <v>2.73</v>
      </c>
    </row>
    <row r="98" spans="1:31" ht="12.95" customHeight="1" x14ac:dyDescent="0.2">
      <c r="A98" s="35"/>
      <c r="B98" s="35"/>
      <c r="C98" s="4"/>
      <c r="D98" s="4"/>
      <c r="F98" s="39" t="s">
        <v>223</v>
      </c>
      <c r="H98" s="56" t="e">
        <v>#DIV/0!</v>
      </c>
      <c r="I98" s="56">
        <v>-6.6322489391796324</v>
      </c>
      <c r="J98" s="56">
        <v>-6.6322489391796324</v>
      </c>
      <c r="K98" s="109" t="e">
        <v>#DIV/0!</v>
      </c>
      <c r="L98" s="109" t="e">
        <v>#DIV/0!</v>
      </c>
      <c r="M98" s="56" t="e">
        <v>#DIV/0!</v>
      </c>
      <c r="N98" s="56" t="e">
        <v>#DIV/0!</v>
      </c>
      <c r="O98" s="56" t="e">
        <v>#DIV/0!</v>
      </c>
      <c r="P98" s="56" t="e">
        <v>#DIV/0!</v>
      </c>
      <c r="Q98" s="56" t="e">
        <v>#DIV/0!</v>
      </c>
      <c r="R98" s="56" t="e">
        <v>#DIV/0!</v>
      </c>
      <c r="S98" s="56" t="e">
        <v>#DIV/0!</v>
      </c>
      <c r="T98" s="56" t="e">
        <v>#DIV/0!</v>
      </c>
      <c r="U98" s="56" t="e">
        <v>#DIV/0!</v>
      </c>
      <c r="V98" s="56" t="e">
        <v>#DIV/0!</v>
      </c>
      <c r="W98" s="56" t="e">
        <v>#DIV/0!</v>
      </c>
      <c r="X98" s="56" t="e">
        <v>#DIV/0!</v>
      </c>
      <c r="Y98" s="56" t="e">
        <v>#DIV/0!</v>
      </c>
      <c r="AA98" s="56" t="e">
        <v>#DIV/0!</v>
      </c>
      <c r="AB98" s="57"/>
      <c r="AD98" s="56" t="e">
        <v>#DIV/0!</v>
      </c>
      <c r="AE98" s="57"/>
    </row>
    <row r="99" spans="1:31" ht="6.95" customHeight="1" x14ac:dyDescent="0.2">
      <c r="C99" s="4"/>
      <c r="D99" s="4"/>
      <c r="F99" s="96"/>
      <c r="K99" s="110"/>
      <c r="L99" s="110"/>
      <c r="AB99" s="7"/>
      <c r="AE99" s="7"/>
    </row>
    <row r="100" spans="1:31" ht="18" hidden="1" customHeight="1" outlineLevel="1" x14ac:dyDescent="0.2">
      <c r="A100" s="30" t="s">
        <v>36</v>
      </c>
      <c r="B100" s="30" t="s">
        <v>59</v>
      </c>
      <c r="C100" s="4"/>
      <c r="D100" s="4"/>
      <c r="F100" s="51" t="s">
        <v>235</v>
      </c>
      <c r="G100" s="34"/>
      <c r="H100" s="72">
        <v>0</v>
      </c>
      <c r="I100" s="72">
        <v>0</v>
      </c>
      <c r="J100" s="72">
        <v>0</v>
      </c>
      <c r="K100" s="111">
        <v>0</v>
      </c>
      <c r="L100" s="111">
        <v>0</v>
      </c>
      <c r="M100" s="72">
        <v>0</v>
      </c>
      <c r="N100" s="72">
        <v>0</v>
      </c>
      <c r="O100" s="72">
        <v>0</v>
      </c>
      <c r="P100" s="72">
        <v>0</v>
      </c>
      <c r="Q100" s="72">
        <v>0</v>
      </c>
      <c r="R100" s="72">
        <v>0</v>
      </c>
      <c r="S100" s="72">
        <v>0</v>
      </c>
      <c r="T100" s="72">
        <v>0</v>
      </c>
      <c r="U100" s="72">
        <v>0</v>
      </c>
      <c r="V100" s="72">
        <v>0</v>
      </c>
      <c r="W100" s="72">
        <v>0</v>
      </c>
      <c r="X100" s="72">
        <v>0</v>
      </c>
      <c r="Y100" s="72">
        <v>0</v>
      </c>
      <c r="Z100" s="34"/>
      <c r="AA100" s="72">
        <v>0</v>
      </c>
      <c r="AB100" s="73">
        <v>0</v>
      </c>
      <c r="AC100" s="34"/>
      <c r="AD100" s="72">
        <v>0</v>
      </c>
      <c r="AE100" s="73">
        <v>0</v>
      </c>
    </row>
    <row r="101" spans="1:31" ht="18" hidden="1" customHeight="1" outlineLevel="1" x14ac:dyDescent="0.2">
      <c r="A101" s="30" t="s">
        <v>36</v>
      </c>
      <c r="B101" s="30" t="s">
        <v>60</v>
      </c>
      <c r="C101" s="4"/>
      <c r="D101" s="4"/>
      <c r="F101" s="51" t="s">
        <v>236</v>
      </c>
      <c r="G101" s="34"/>
      <c r="H101" s="72">
        <v>0</v>
      </c>
      <c r="I101" s="72">
        <v>0</v>
      </c>
      <c r="J101" s="72">
        <v>0</v>
      </c>
      <c r="K101" s="111">
        <v>0</v>
      </c>
      <c r="L101" s="111">
        <v>0</v>
      </c>
      <c r="M101" s="72">
        <v>0</v>
      </c>
      <c r="N101" s="72">
        <v>0</v>
      </c>
      <c r="O101" s="72">
        <v>0</v>
      </c>
      <c r="P101" s="72">
        <v>0</v>
      </c>
      <c r="Q101" s="72">
        <v>0</v>
      </c>
      <c r="R101" s="72">
        <v>0</v>
      </c>
      <c r="S101" s="72">
        <v>0</v>
      </c>
      <c r="T101" s="72">
        <v>0</v>
      </c>
      <c r="U101" s="72">
        <v>0</v>
      </c>
      <c r="V101" s="72">
        <v>0</v>
      </c>
      <c r="W101" s="72">
        <v>0</v>
      </c>
      <c r="X101" s="72">
        <v>0</v>
      </c>
      <c r="Y101" s="72">
        <v>0</v>
      </c>
      <c r="Z101" s="34"/>
      <c r="AA101" s="72">
        <v>0</v>
      </c>
      <c r="AB101" s="73">
        <v>0</v>
      </c>
      <c r="AC101" s="34"/>
      <c r="AD101" s="72">
        <v>0</v>
      </c>
      <c r="AE101" s="73">
        <v>0</v>
      </c>
    </row>
    <row r="102" spans="1:31" ht="18" hidden="1" customHeight="1" outlineLevel="1" x14ac:dyDescent="0.2">
      <c r="A102" s="30" t="s">
        <v>36</v>
      </c>
      <c r="B102" s="30" t="s">
        <v>61</v>
      </c>
      <c r="C102" s="4"/>
      <c r="D102" s="4"/>
      <c r="F102" s="51" t="s">
        <v>237</v>
      </c>
      <c r="G102" s="34"/>
      <c r="H102" s="72">
        <v>0</v>
      </c>
      <c r="I102" s="72">
        <v>0</v>
      </c>
      <c r="J102" s="72">
        <v>0</v>
      </c>
      <c r="K102" s="111">
        <v>0</v>
      </c>
      <c r="L102" s="111">
        <v>0</v>
      </c>
      <c r="M102" s="72">
        <v>0</v>
      </c>
      <c r="N102" s="72">
        <v>0</v>
      </c>
      <c r="O102" s="72">
        <v>0</v>
      </c>
      <c r="P102" s="72">
        <v>0</v>
      </c>
      <c r="Q102" s="72">
        <v>0</v>
      </c>
      <c r="R102" s="72">
        <v>0</v>
      </c>
      <c r="S102" s="72">
        <v>0</v>
      </c>
      <c r="T102" s="72">
        <v>0</v>
      </c>
      <c r="U102" s="72">
        <v>0</v>
      </c>
      <c r="V102" s="72">
        <v>0</v>
      </c>
      <c r="W102" s="72">
        <v>0</v>
      </c>
      <c r="X102" s="72">
        <v>0</v>
      </c>
      <c r="Y102" s="72">
        <v>0</v>
      </c>
      <c r="Z102" s="34"/>
      <c r="AA102" s="72">
        <v>0</v>
      </c>
      <c r="AB102" s="73">
        <v>0</v>
      </c>
      <c r="AC102" s="34"/>
      <c r="AD102" s="72">
        <v>0</v>
      </c>
      <c r="AE102" s="73">
        <v>0</v>
      </c>
    </row>
    <row r="103" spans="1:31" ht="18" hidden="1" customHeight="1" outlineLevel="1" x14ac:dyDescent="0.2">
      <c r="A103" s="30" t="s">
        <v>36</v>
      </c>
      <c r="B103" s="30" t="s">
        <v>62</v>
      </c>
      <c r="C103" s="4"/>
      <c r="D103" s="4"/>
      <c r="F103" s="51" t="s">
        <v>238</v>
      </c>
      <c r="G103" s="34"/>
      <c r="H103" s="72">
        <v>0</v>
      </c>
      <c r="I103" s="72">
        <v>0</v>
      </c>
      <c r="J103" s="72">
        <v>0</v>
      </c>
      <c r="K103" s="111">
        <v>0</v>
      </c>
      <c r="L103" s="111">
        <v>0</v>
      </c>
      <c r="M103" s="72">
        <v>0</v>
      </c>
      <c r="N103" s="72">
        <v>0</v>
      </c>
      <c r="O103" s="72">
        <v>0</v>
      </c>
      <c r="P103" s="72">
        <v>0</v>
      </c>
      <c r="Q103" s="72">
        <v>0</v>
      </c>
      <c r="R103" s="72">
        <v>0</v>
      </c>
      <c r="S103" s="72">
        <v>0</v>
      </c>
      <c r="T103" s="72">
        <v>0</v>
      </c>
      <c r="U103" s="72">
        <v>0</v>
      </c>
      <c r="V103" s="72">
        <v>0</v>
      </c>
      <c r="W103" s="72">
        <v>0</v>
      </c>
      <c r="X103" s="72">
        <v>0</v>
      </c>
      <c r="Y103" s="72">
        <v>0</v>
      </c>
      <c r="Z103" s="34"/>
      <c r="AA103" s="72">
        <v>0</v>
      </c>
      <c r="AB103" s="73">
        <v>0</v>
      </c>
      <c r="AC103" s="34"/>
      <c r="AD103" s="72">
        <v>0</v>
      </c>
      <c r="AE103" s="73">
        <v>0</v>
      </c>
    </row>
    <row r="104" spans="1:31" ht="18" customHeight="1" collapsed="1" x14ac:dyDescent="0.2">
      <c r="A104" s="30" t="s">
        <v>36</v>
      </c>
      <c r="B104" s="30" t="s">
        <v>18</v>
      </c>
      <c r="C104" s="4"/>
      <c r="D104" s="4"/>
      <c r="F104" s="97" t="s">
        <v>239</v>
      </c>
      <c r="H104" s="74">
        <v>0</v>
      </c>
      <c r="I104" s="74">
        <v>0</v>
      </c>
      <c r="J104" s="74">
        <v>0</v>
      </c>
      <c r="K104" s="112">
        <v>0</v>
      </c>
      <c r="L104" s="112">
        <v>0</v>
      </c>
      <c r="M104" s="74">
        <v>0</v>
      </c>
      <c r="N104" s="74">
        <v>0</v>
      </c>
      <c r="O104" s="74">
        <v>0</v>
      </c>
      <c r="P104" s="74">
        <v>0</v>
      </c>
      <c r="Q104" s="74">
        <v>0</v>
      </c>
      <c r="R104" s="74">
        <v>0</v>
      </c>
      <c r="S104" s="74">
        <v>0</v>
      </c>
      <c r="T104" s="74">
        <v>0</v>
      </c>
      <c r="U104" s="74">
        <v>0</v>
      </c>
      <c r="V104" s="74">
        <v>0</v>
      </c>
      <c r="W104" s="74">
        <v>0</v>
      </c>
      <c r="X104" s="74">
        <v>0</v>
      </c>
      <c r="Y104" s="74">
        <v>0</v>
      </c>
      <c r="AA104" s="74">
        <v>0</v>
      </c>
      <c r="AB104" s="73">
        <v>0</v>
      </c>
      <c r="AD104" s="74">
        <v>0</v>
      </c>
      <c r="AE104" s="73">
        <v>0</v>
      </c>
    </row>
    <row r="105" spans="1:31" ht="18" hidden="1" customHeight="1" outlineLevel="1" collapsed="1" x14ac:dyDescent="0.2">
      <c r="A105" s="33" t="s">
        <v>211</v>
      </c>
      <c r="B105" s="33" t="s">
        <v>18</v>
      </c>
      <c r="C105" s="4"/>
      <c r="D105" s="4"/>
      <c r="F105" s="98" t="s">
        <v>212</v>
      </c>
      <c r="G105" s="34"/>
      <c r="H105" s="75">
        <v>0</v>
      </c>
      <c r="I105" s="75">
        <v>0</v>
      </c>
      <c r="J105" s="75">
        <v>0</v>
      </c>
      <c r="K105" s="112">
        <v>0</v>
      </c>
      <c r="L105" s="112">
        <v>0</v>
      </c>
      <c r="M105" s="75">
        <v>0</v>
      </c>
      <c r="N105" s="75">
        <v>0</v>
      </c>
      <c r="O105" s="75">
        <v>0</v>
      </c>
      <c r="P105" s="75">
        <v>0</v>
      </c>
      <c r="Q105" s="75">
        <v>0</v>
      </c>
      <c r="R105" s="75">
        <v>0</v>
      </c>
      <c r="S105" s="75">
        <v>0</v>
      </c>
      <c r="T105" s="75">
        <v>0</v>
      </c>
      <c r="U105" s="75">
        <v>0</v>
      </c>
      <c r="V105" s="75">
        <v>0</v>
      </c>
      <c r="W105" s="75">
        <v>0</v>
      </c>
      <c r="X105" s="75">
        <v>0</v>
      </c>
      <c r="Y105" s="75">
        <v>0</v>
      </c>
      <c r="Z105" s="34"/>
      <c r="AA105" s="75">
        <v>0</v>
      </c>
      <c r="AB105" s="76">
        <v>0</v>
      </c>
      <c r="AC105" s="34"/>
      <c r="AD105" s="75">
        <v>0</v>
      </c>
      <c r="AE105" s="76">
        <v>0</v>
      </c>
    </row>
    <row r="106" spans="1:31" ht="18" hidden="1" customHeight="1" outlineLevel="1" collapsed="1" x14ac:dyDescent="0.2">
      <c r="A106" s="35"/>
      <c r="B106" s="35"/>
      <c r="C106" s="4"/>
      <c r="D106" s="4"/>
      <c r="F106" s="97" t="s">
        <v>240</v>
      </c>
      <c r="H106" s="74">
        <v>0</v>
      </c>
      <c r="I106" s="74">
        <v>0</v>
      </c>
      <c r="J106" s="74">
        <v>0</v>
      </c>
      <c r="K106" s="112">
        <v>0</v>
      </c>
      <c r="L106" s="112">
        <v>0</v>
      </c>
      <c r="M106" s="74">
        <v>0</v>
      </c>
      <c r="N106" s="74">
        <v>0</v>
      </c>
      <c r="O106" s="74">
        <v>0</v>
      </c>
      <c r="P106" s="74">
        <v>0</v>
      </c>
      <c r="Q106" s="74">
        <v>0</v>
      </c>
      <c r="R106" s="74">
        <v>0</v>
      </c>
      <c r="S106" s="74">
        <v>0</v>
      </c>
      <c r="T106" s="74">
        <v>0</v>
      </c>
      <c r="U106" s="74">
        <v>0</v>
      </c>
      <c r="V106" s="74">
        <v>0</v>
      </c>
      <c r="W106" s="74">
        <v>0</v>
      </c>
      <c r="X106" s="74">
        <v>0</v>
      </c>
      <c r="Y106" s="74">
        <v>0</v>
      </c>
      <c r="AA106" s="74">
        <v>0</v>
      </c>
      <c r="AB106" s="73">
        <v>0</v>
      </c>
      <c r="AD106" s="74">
        <v>0</v>
      </c>
      <c r="AE106" s="73">
        <v>0</v>
      </c>
    </row>
    <row r="107" spans="1:31" ht="12.95" hidden="1" customHeight="1" outlineLevel="1" x14ac:dyDescent="0.2">
      <c r="A107" s="35"/>
      <c r="B107" s="35"/>
      <c r="C107" s="4"/>
      <c r="D107" s="4"/>
      <c r="F107" s="39" t="s">
        <v>37</v>
      </c>
      <c r="H107" s="68">
        <v>0</v>
      </c>
      <c r="I107" s="68">
        <v>0</v>
      </c>
      <c r="J107" s="68">
        <v>0</v>
      </c>
      <c r="K107" s="113">
        <v>0</v>
      </c>
      <c r="L107" s="113">
        <v>0</v>
      </c>
      <c r="M107" s="68">
        <v>0</v>
      </c>
      <c r="N107" s="68">
        <v>0</v>
      </c>
      <c r="O107" s="68">
        <v>0</v>
      </c>
      <c r="P107" s="68">
        <v>0</v>
      </c>
      <c r="Q107" s="68">
        <v>0</v>
      </c>
      <c r="R107" s="68">
        <v>0</v>
      </c>
      <c r="S107" s="68">
        <v>0</v>
      </c>
      <c r="T107" s="68">
        <v>0</v>
      </c>
      <c r="U107" s="68">
        <v>0</v>
      </c>
      <c r="V107" s="68">
        <v>0</v>
      </c>
      <c r="W107" s="68">
        <v>0</v>
      </c>
      <c r="X107" s="68">
        <v>0</v>
      </c>
      <c r="Y107" s="68">
        <v>0</v>
      </c>
      <c r="AA107" s="68">
        <v>0</v>
      </c>
      <c r="AB107" s="69"/>
      <c r="AD107" s="68">
        <v>0</v>
      </c>
      <c r="AE107" s="69"/>
    </row>
    <row r="108" spans="1:31" ht="18" customHeight="1" collapsed="1" x14ac:dyDescent="0.2">
      <c r="A108" s="30" t="s">
        <v>220</v>
      </c>
      <c r="B108" s="30" t="s">
        <v>18</v>
      </c>
      <c r="C108" s="4">
        <v>0</v>
      </c>
      <c r="D108" s="4">
        <v>0</v>
      </c>
      <c r="F108" s="106" t="s">
        <v>66</v>
      </c>
      <c r="H108" s="61">
        <v>0</v>
      </c>
      <c r="I108" s="61">
        <v>0</v>
      </c>
      <c r="J108" s="61">
        <v>0</v>
      </c>
      <c r="K108" s="86">
        <v>0</v>
      </c>
      <c r="L108" s="86">
        <v>0</v>
      </c>
      <c r="M108" s="61">
        <v>0</v>
      </c>
      <c r="N108" s="61">
        <v>0</v>
      </c>
      <c r="O108" s="61">
        <v>0</v>
      </c>
      <c r="P108" s="61">
        <v>0</v>
      </c>
      <c r="Q108" s="61">
        <v>0</v>
      </c>
      <c r="R108" s="61">
        <v>0</v>
      </c>
      <c r="S108" s="61">
        <v>0</v>
      </c>
      <c r="T108" s="61">
        <v>0</v>
      </c>
      <c r="U108" s="61">
        <v>0</v>
      </c>
      <c r="V108" s="61">
        <v>0</v>
      </c>
      <c r="W108" s="61">
        <v>0</v>
      </c>
      <c r="X108" s="61">
        <v>0</v>
      </c>
      <c r="Y108" s="61">
        <v>0</v>
      </c>
      <c r="AA108" s="61">
        <v>0</v>
      </c>
      <c r="AB108" s="60">
        <v>0</v>
      </c>
      <c r="AD108" s="61">
        <v>0</v>
      </c>
      <c r="AE108" s="60">
        <v>0</v>
      </c>
    </row>
    <row r="109" spans="1:31" ht="18" customHeight="1" x14ac:dyDescent="0.2">
      <c r="A109" s="30" t="s">
        <v>218</v>
      </c>
      <c r="B109" s="30" t="s">
        <v>18</v>
      </c>
      <c r="C109" s="4">
        <v>0</v>
      </c>
      <c r="D109" s="4">
        <v>0</v>
      </c>
      <c r="F109" s="104" t="s">
        <v>219</v>
      </c>
      <c r="G109" s="36"/>
      <c r="H109" s="65">
        <v>0</v>
      </c>
      <c r="I109" s="65">
        <v>0</v>
      </c>
      <c r="J109" s="65">
        <v>0</v>
      </c>
      <c r="K109" s="65">
        <v>0</v>
      </c>
      <c r="L109" s="65">
        <v>0</v>
      </c>
      <c r="M109" s="65">
        <v>0</v>
      </c>
      <c r="N109" s="65">
        <v>0</v>
      </c>
      <c r="O109" s="65">
        <v>0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0</v>
      </c>
      <c r="Y109" s="65">
        <v>0</v>
      </c>
      <c r="Z109" s="36"/>
      <c r="AA109" s="65">
        <v>0</v>
      </c>
      <c r="AB109" s="60">
        <v>0</v>
      </c>
      <c r="AC109" s="36"/>
      <c r="AD109" s="65">
        <v>0</v>
      </c>
      <c r="AE109" s="60">
        <v>0</v>
      </c>
    </row>
    <row r="110" spans="1:31" ht="18" customHeight="1" x14ac:dyDescent="0.2">
      <c r="A110" s="30" t="s">
        <v>34</v>
      </c>
      <c r="B110" s="30" t="s">
        <v>18</v>
      </c>
      <c r="C110" s="4">
        <v>0</v>
      </c>
      <c r="D110" s="4">
        <v>0</v>
      </c>
      <c r="F110" s="106" t="s">
        <v>57</v>
      </c>
      <c r="H110" s="61">
        <v>0</v>
      </c>
      <c r="I110" s="61">
        <v>0</v>
      </c>
      <c r="J110" s="61">
        <v>0</v>
      </c>
      <c r="K110" s="86">
        <v>0</v>
      </c>
      <c r="L110" s="86">
        <v>0</v>
      </c>
      <c r="M110" s="61">
        <v>0</v>
      </c>
      <c r="N110" s="61">
        <v>0</v>
      </c>
      <c r="O110" s="61">
        <v>0</v>
      </c>
      <c r="P110" s="61">
        <v>0</v>
      </c>
      <c r="Q110" s="61">
        <v>0</v>
      </c>
      <c r="R110" s="61">
        <v>0</v>
      </c>
      <c r="S110" s="61">
        <v>0</v>
      </c>
      <c r="T110" s="61">
        <v>0</v>
      </c>
      <c r="U110" s="61">
        <v>0</v>
      </c>
      <c r="V110" s="61">
        <v>0</v>
      </c>
      <c r="W110" s="61">
        <v>0</v>
      </c>
      <c r="X110" s="61">
        <v>0</v>
      </c>
      <c r="Y110" s="61">
        <v>0</v>
      </c>
      <c r="AA110" s="61">
        <v>0</v>
      </c>
      <c r="AB110" s="60">
        <v>0</v>
      </c>
      <c r="AD110" s="61">
        <v>0</v>
      </c>
      <c r="AE110" s="60">
        <v>0</v>
      </c>
    </row>
    <row r="111" spans="1:31" ht="18" customHeight="1" x14ac:dyDescent="0.2">
      <c r="A111" s="30" t="s">
        <v>221</v>
      </c>
      <c r="B111" s="30" t="s">
        <v>18</v>
      </c>
      <c r="C111" s="4">
        <v>0</v>
      </c>
      <c r="D111" s="4">
        <v>0</v>
      </c>
      <c r="F111" s="106" t="s">
        <v>379</v>
      </c>
      <c r="H111" s="61">
        <v>0</v>
      </c>
      <c r="I111" s="61">
        <v>0</v>
      </c>
      <c r="J111" s="61">
        <v>0</v>
      </c>
      <c r="K111" s="86">
        <v>0</v>
      </c>
      <c r="L111" s="86">
        <v>0</v>
      </c>
      <c r="M111" s="61">
        <v>0</v>
      </c>
      <c r="N111" s="61">
        <v>0</v>
      </c>
      <c r="O111" s="61">
        <v>0</v>
      </c>
      <c r="P111" s="61">
        <v>0</v>
      </c>
      <c r="Q111" s="61">
        <v>0</v>
      </c>
      <c r="R111" s="61">
        <v>0</v>
      </c>
      <c r="S111" s="61">
        <v>0</v>
      </c>
      <c r="T111" s="61">
        <v>0</v>
      </c>
      <c r="U111" s="61">
        <v>0</v>
      </c>
      <c r="V111" s="61">
        <v>0</v>
      </c>
      <c r="W111" s="61">
        <v>0</v>
      </c>
      <c r="X111" s="61">
        <v>0</v>
      </c>
      <c r="Y111" s="61">
        <v>0</v>
      </c>
      <c r="AA111" s="61">
        <v>0</v>
      </c>
      <c r="AB111" s="60">
        <v>0</v>
      </c>
      <c r="AD111" s="61">
        <v>0</v>
      </c>
      <c r="AE111" s="60">
        <v>0</v>
      </c>
    </row>
    <row r="112" spans="1:31" ht="18" customHeight="1" x14ac:dyDescent="0.2">
      <c r="A112" s="30" t="s">
        <v>430</v>
      </c>
      <c r="B112" s="30" t="s">
        <v>18</v>
      </c>
      <c r="C112" s="4">
        <v>0</v>
      </c>
      <c r="D112" s="4">
        <v>0</v>
      </c>
      <c r="F112" s="106" t="s">
        <v>431</v>
      </c>
      <c r="H112" s="61">
        <v>0</v>
      </c>
      <c r="I112" s="61">
        <v>0</v>
      </c>
      <c r="J112" s="61">
        <v>0</v>
      </c>
      <c r="K112" s="86">
        <v>0</v>
      </c>
      <c r="L112" s="86">
        <v>0</v>
      </c>
      <c r="M112" s="61">
        <v>0</v>
      </c>
      <c r="N112" s="61">
        <v>0</v>
      </c>
      <c r="O112" s="61">
        <v>0</v>
      </c>
      <c r="P112" s="61">
        <v>0</v>
      </c>
      <c r="Q112" s="61">
        <v>0</v>
      </c>
      <c r="R112" s="61">
        <v>0</v>
      </c>
      <c r="S112" s="61">
        <v>0</v>
      </c>
      <c r="T112" s="61">
        <v>0</v>
      </c>
      <c r="U112" s="61">
        <v>0</v>
      </c>
      <c r="V112" s="61">
        <v>0</v>
      </c>
      <c r="W112" s="61">
        <v>0</v>
      </c>
      <c r="X112" s="61">
        <v>0</v>
      </c>
      <c r="Y112" s="61">
        <v>0</v>
      </c>
      <c r="AA112" s="61">
        <v>0</v>
      </c>
      <c r="AB112" s="60">
        <v>0</v>
      </c>
      <c r="AD112" s="61">
        <v>0</v>
      </c>
      <c r="AE112" s="60">
        <v>0</v>
      </c>
    </row>
    <row r="113" spans="1:31" ht="18" customHeight="1" x14ac:dyDescent="0.2">
      <c r="A113" s="30" t="s">
        <v>35</v>
      </c>
      <c r="B113" s="30" t="s">
        <v>18</v>
      </c>
      <c r="C113" s="4">
        <v>0</v>
      </c>
      <c r="D113" s="4">
        <v>0</v>
      </c>
      <c r="F113" s="106" t="s">
        <v>67</v>
      </c>
      <c r="H113" s="61">
        <v>0</v>
      </c>
      <c r="I113" s="61">
        <v>-0.32</v>
      </c>
      <c r="J113" s="61">
        <v>-0.32</v>
      </c>
      <c r="K113" s="86">
        <v>0</v>
      </c>
      <c r="L113" s="86">
        <v>0</v>
      </c>
      <c r="M113" s="61">
        <v>0</v>
      </c>
      <c r="N113" s="61">
        <v>0</v>
      </c>
      <c r="O113" s="61">
        <v>0</v>
      </c>
      <c r="P113" s="61">
        <v>0</v>
      </c>
      <c r="Q113" s="61">
        <v>0</v>
      </c>
      <c r="R113" s="61">
        <v>0</v>
      </c>
      <c r="S113" s="61">
        <v>0</v>
      </c>
      <c r="T113" s="61">
        <v>0</v>
      </c>
      <c r="U113" s="61">
        <v>0</v>
      </c>
      <c r="V113" s="61">
        <v>0</v>
      </c>
      <c r="W113" s="61">
        <v>0</v>
      </c>
      <c r="X113" s="61">
        <v>0</v>
      </c>
      <c r="Y113" s="61">
        <v>0</v>
      </c>
      <c r="AA113" s="61">
        <v>0</v>
      </c>
      <c r="AB113" s="60">
        <v>0</v>
      </c>
      <c r="AD113" s="61">
        <v>0</v>
      </c>
      <c r="AE113" s="60">
        <v>0</v>
      </c>
    </row>
    <row r="114" spans="1:31" ht="18" hidden="1" customHeight="1" outlineLevel="1" collapsed="1" x14ac:dyDescent="0.2">
      <c r="A114" s="35"/>
      <c r="B114" s="35"/>
      <c r="C114" s="4"/>
      <c r="D114" s="4"/>
      <c r="F114" s="97" t="s">
        <v>453</v>
      </c>
      <c r="H114" s="74">
        <v>0</v>
      </c>
      <c r="I114" s="74">
        <v>0</v>
      </c>
      <c r="J114" s="74">
        <v>0</v>
      </c>
      <c r="K114" s="112">
        <v>0</v>
      </c>
      <c r="L114" s="112">
        <v>0</v>
      </c>
      <c r="M114" s="74">
        <v>0</v>
      </c>
      <c r="N114" s="74">
        <v>0</v>
      </c>
      <c r="O114" s="74">
        <v>0</v>
      </c>
      <c r="P114" s="74">
        <v>0</v>
      </c>
      <c r="Q114" s="74">
        <v>0</v>
      </c>
      <c r="R114" s="74">
        <v>0</v>
      </c>
      <c r="S114" s="74">
        <v>0</v>
      </c>
      <c r="T114" s="74">
        <v>0</v>
      </c>
      <c r="U114" s="74">
        <v>0</v>
      </c>
      <c r="V114" s="74">
        <v>0</v>
      </c>
      <c r="W114" s="74">
        <v>0</v>
      </c>
      <c r="X114" s="74">
        <v>0</v>
      </c>
      <c r="Y114" s="74">
        <v>0</v>
      </c>
      <c r="AA114" s="74">
        <v>0</v>
      </c>
      <c r="AB114" s="73">
        <v>0</v>
      </c>
      <c r="AD114" s="74">
        <v>0</v>
      </c>
      <c r="AE114" s="73">
        <v>0</v>
      </c>
    </row>
    <row r="115" spans="1:31" ht="18" customHeight="1" collapsed="1" x14ac:dyDescent="0.2">
      <c r="A115" s="30" t="s">
        <v>20</v>
      </c>
      <c r="B115" s="30" t="s">
        <v>18</v>
      </c>
      <c r="C115" s="4">
        <v>0</v>
      </c>
      <c r="D115" s="4">
        <v>0</v>
      </c>
      <c r="F115" s="106" t="s">
        <v>68</v>
      </c>
      <c r="H115" s="61">
        <v>0</v>
      </c>
      <c r="I115" s="61">
        <v>0</v>
      </c>
      <c r="J115" s="61">
        <v>0</v>
      </c>
      <c r="K115" s="86">
        <v>0</v>
      </c>
      <c r="L115" s="86">
        <v>0</v>
      </c>
      <c r="M115" s="61">
        <v>0</v>
      </c>
      <c r="N115" s="61">
        <v>0</v>
      </c>
      <c r="O115" s="61">
        <v>0</v>
      </c>
      <c r="P115" s="61">
        <v>0</v>
      </c>
      <c r="Q115" s="61">
        <v>0</v>
      </c>
      <c r="R115" s="61">
        <v>0</v>
      </c>
      <c r="S115" s="61">
        <v>0</v>
      </c>
      <c r="T115" s="61">
        <v>0</v>
      </c>
      <c r="U115" s="61">
        <v>0</v>
      </c>
      <c r="V115" s="61">
        <v>0</v>
      </c>
      <c r="W115" s="61">
        <v>0</v>
      </c>
      <c r="X115" s="61">
        <v>0</v>
      </c>
      <c r="Y115" s="61">
        <v>0</v>
      </c>
      <c r="AA115" s="61">
        <v>0</v>
      </c>
      <c r="AB115" s="60">
        <v>0</v>
      </c>
      <c r="AD115" s="61">
        <v>0</v>
      </c>
      <c r="AE115" s="60">
        <v>0</v>
      </c>
    </row>
    <row r="116" spans="1:31" ht="18" customHeight="1" x14ac:dyDescent="0.2">
      <c r="A116" s="35"/>
      <c r="B116" s="35"/>
      <c r="C116" s="4">
        <v>0</v>
      </c>
      <c r="D116" s="4">
        <v>0</v>
      </c>
      <c r="F116" s="95" t="s">
        <v>275</v>
      </c>
      <c r="H116" s="198">
        <v>0</v>
      </c>
      <c r="I116" s="198">
        <v>-0.32</v>
      </c>
      <c r="J116" s="198">
        <v>-0.32</v>
      </c>
      <c r="K116" s="89">
        <v>0</v>
      </c>
      <c r="L116" s="89">
        <v>0</v>
      </c>
      <c r="M116" s="64">
        <v>0</v>
      </c>
      <c r="N116" s="64">
        <v>0</v>
      </c>
      <c r="O116" s="64">
        <v>0</v>
      </c>
      <c r="P116" s="64">
        <v>0</v>
      </c>
      <c r="Q116" s="64">
        <v>0</v>
      </c>
      <c r="R116" s="64">
        <v>0</v>
      </c>
      <c r="S116" s="64">
        <v>0</v>
      </c>
      <c r="T116" s="64">
        <v>0</v>
      </c>
      <c r="U116" s="64">
        <v>0</v>
      </c>
      <c r="V116" s="64">
        <v>0</v>
      </c>
      <c r="W116" s="64">
        <v>0</v>
      </c>
      <c r="X116" s="64">
        <v>0</v>
      </c>
      <c r="Y116" s="64">
        <v>0</v>
      </c>
      <c r="AA116" s="64">
        <v>0</v>
      </c>
      <c r="AB116" s="60">
        <v>0</v>
      </c>
      <c r="AD116" s="64">
        <v>0</v>
      </c>
      <c r="AE116" s="60">
        <v>0</v>
      </c>
    </row>
    <row r="117" spans="1:31" ht="12.95" customHeight="1" x14ac:dyDescent="0.2">
      <c r="A117" s="35"/>
      <c r="B117" s="35"/>
      <c r="C117" s="4"/>
      <c r="D117" s="4"/>
      <c r="F117" s="39" t="s">
        <v>223</v>
      </c>
      <c r="H117" s="56" t="e">
        <v>#DIV/0!</v>
      </c>
      <c r="I117" s="56">
        <v>-0.15087223008015088</v>
      </c>
      <c r="J117" s="56">
        <v>-0.15087223008015088</v>
      </c>
      <c r="K117" s="109" t="e">
        <v>#DIV/0!</v>
      </c>
      <c r="L117" s="109" t="e">
        <v>#DIV/0!</v>
      </c>
      <c r="M117" s="56" t="e">
        <v>#DIV/0!</v>
      </c>
      <c r="N117" s="56" t="e">
        <v>#DIV/0!</v>
      </c>
      <c r="O117" s="56" t="e">
        <v>#DIV/0!</v>
      </c>
      <c r="P117" s="56" t="e">
        <v>#DIV/0!</v>
      </c>
      <c r="Q117" s="56" t="e">
        <v>#DIV/0!</v>
      </c>
      <c r="R117" s="56" t="e">
        <v>#DIV/0!</v>
      </c>
      <c r="S117" s="56" t="e">
        <v>#DIV/0!</v>
      </c>
      <c r="T117" s="56" t="e">
        <v>#DIV/0!</v>
      </c>
      <c r="U117" s="56" t="e">
        <v>#DIV/0!</v>
      </c>
      <c r="V117" s="56" t="e">
        <v>#DIV/0!</v>
      </c>
      <c r="W117" s="56" t="e">
        <v>#DIV/0!</v>
      </c>
      <c r="X117" s="56" t="e">
        <v>#DIV/0!</v>
      </c>
      <c r="Y117" s="56" t="e">
        <v>#DIV/0!</v>
      </c>
      <c r="AA117" s="56" t="e">
        <v>#DIV/0!</v>
      </c>
      <c r="AB117" s="57"/>
      <c r="AD117" s="56" t="e">
        <v>#DIV/0!</v>
      </c>
      <c r="AE117" s="57"/>
    </row>
    <row r="118" spans="1:31" ht="6.95" customHeight="1" x14ac:dyDescent="0.2">
      <c r="C118" s="4"/>
      <c r="D118" s="4"/>
      <c r="F118" s="99"/>
      <c r="H118" s="16"/>
      <c r="I118" s="16"/>
      <c r="J118" s="16"/>
      <c r="K118" s="85"/>
      <c r="L118" s="85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AA118" s="16"/>
      <c r="AB118" s="20"/>
      <c r="AD118" s="16"/>
      <c r="AE118" s="20"/>
    </row>
    <row r="119" spans="1:31" ht="18" customHeight="1" x14ac:dyDescent="0.2">
      <c r="A119" s="30" t="s">
        <v>70</v>
      </c>
      <c r="B119" s="30" t="s">
        <v>18</v>
      </c>
      <c r="C119" s="4"/>
      <c r="D119" s="4"/>
      <c r="F119" s="97" t="s">
        <v>225</v>
      </c>
      <c r="H119" s="74">
        <v>0</v>
      </c>
      <c r="I119" s="74">
        <v>0</v>
      </c>
      <c r="J119" s="74">
        <v>0</v>
      </c>
      <c r="K119" s="112">
        <v>0</v>
      </c>
      <c r="L119" s="112">
        <v>0</v>
      </c>
      <c r="M119" s="74">
        <v>0</v>
      </c>
      <c r="N119" s="74">
        <v>0</v>
      </c>
      <c r="O119" s="74">
        <v>0</v>
      </c>
      <c r="P119" s="74">
        <v>0</v>
      </c>
      <c r="Q119" s="74">
        <v>0</v>
      </c>
      <c r="R119" s="74">
        <v>0</v>
      </c>
      <c r="S119" s="74">
        <v>0</v>
      </c>
      <c r="T119" s="74">
        <v>0</v>
      </c>
      <c r="U119" s="74">
        <v>0</v>
      </c>
      <c r="V119" s="74">
        <v>0</v>
      </c>
      <c r="W119" s="74">
        <v>0</v>
      </c>
      <c r="X119" s="74">
        <v>0</v>
      </c>
      <c r="Y119" s="74">
        <v>0</v>
      </c>
      <c r="AA119" s="74">
        <v>0</v>
      </c>
      <c r="AB119" s="73">
        <v>0</v>
      </c>
      <c r="AD119" s="74">
        <v>0</v>
      </c>
      <c r="AE119" s="73">
        <v>0</v>
      </c>
    </row>
    <row r="120" spans="1:31" ht="12.95" customHeight="1" x14ac:dyDescent="0.2">
      <c r="A120" s="35"/>
      <c r="B120" s="35"/>
      <c r="C120" s="4"/>
      <c r="D120" s="4"/>
      <c r="F120" s="39" t="s">
        <v>71</v>
      </c>
      <c r="H120" s="132">
        <v>0</v>
      </c>
      <c r="I120" s="132">
        <v>0</v>
      </c>
      <c r="J120" s="132">
        <v>0</v>
      </c>
      <c r="K120" s="133">
        <v>0</v>
      </c>
      <c r="L120" s="133">
        <v>0</v>
      </c>
      <c r="M120" s="132">
        <v>0</v>
      </c>
      <c r="N120" s="132">
        <v>0</v>
      </c>
      <c r="O120" s="132">
        <v>0</v>
      </c>
      <c r="P120" s="132">
        <v>0</v>
      </c>
      <c r="Q120" s="132">
        <v>0</v>
      </c>
      <c r="R120" s="132">
        <v>0</v>
      </c>
      <c r="S120" s="132">
        <v>0</v>
      </c>
      <c r="T120" s="132">
        <v>0</v>
      </c>
      <c r="U120" s="132">
        <v>0</v>
      </c>
      <c r="V120" s="132">
        <v>0</v>
      </c>
      <c r="W120" s="132">
        <v>0</v>
      </c>
      <c r="X120" s="132">
        <v>0</v>
      </c>
      <c r="Y120" s="132">
        <v>0</v>
      </c>
      <c r="AA120" s="132">
        <v>0</v>
      </c>
      <c r="AB120" s="134">
        <v>0</v>
      </c>
      <c r="AD120" s="132">
        <v>0</v>
      </c>
      <c r="AE120" s="134">
        <v>0</v>
      </c>
    </row>
    <row r="121" spans="1:31" ht="18" customHeight="1" x14ac:dyDescent="0.2">
      <c r="A121" s="30" t="s">
        <v>63</v>
      </c>
      <c r="B121" s="30" t="s">
        <v>18</v>
      </c>
      <c r="C121" s="4">
        <v>0</v>
      </c>
      <c r="D121" s="4">
        <v>0</v>
      </c>
      <c r="F121" s="106" t="s">
        <v>401</v>
      </c>
      <c r="H121" s="61">
        <v>0</v>
      </c>
      <c r="I121" s="61">
        <v>0</v>
      </c>
      <c r="J121" s="61">
        <v>0</v>
      </c>
      <c r="K121" s="86">
        <v>0</v>
      </c>
      <c r="L121" s="86">
        <v>0</v>
      </c>
      <c r="M121" s="61">
        <v>0</v>
      </c>
      <c r="N121" s="61">
        <v>0</v>
      </c>
      <c r="O121" s="61">
        <v>0</v>
      </c>
      <c r="P121" s="61">
        <v>0</v>
      </c>
      <c r="Q121" s="61">
        <v>0</v>
      </c>
      <c r="R121" s="61">
        <v>0</v>
      </c>
      <c r="S121" s="61">
        <v>0</v>
      </c>
      <c r="T121" s="61">
        <v>0</v>
      </c>
      <c r="U121" s="61">
        <v>0</v>
      </c>
      <c r="V121" s="61">
        <v>0</v>
      </c>
      <c r="W121" s="61">
        <v>0</v>
      </c>
      <c r="X121" s="61">
        <v>0</v>
      </c>
      <c r="Y121" s="61">
        <v>0</v>
      </c>
      <c r="AA121" s="61">
        <v>0</v>
      </c>
      <c r="AB121" s="60">
        <v>0</v>
      </c>
      <c r="AD121" s="61">
        <v>0</v>
      </c>
      <c r="AE121" s="60">
        <v>0</v>
      </c>
    </row>
    <row r="122" spans="1:31" ht="18" customHeight="1" x14ac:dyDescent="0.2">
      <c r="A122" s="30" t="s">
        <v>148</v>
      </c>
      <c r="B122" s="30" t="s">
        <v>18</v>
      </c>
      <c r="C122" s="4">
        <v>0</v>
      </c>
      <c r="D122" s="4">
        <v>0</v>
      </c>
      <c r="F122" s="106" t="s">
        <v>149</v>
      </c>
      <c r="H122" s="61">
        <v>-0.31</v>
      </c>
      <c r="I122" s="61">
        <v>0</v>
      </c>
      <c r="J122" s="61">
        <v>0</v>
      </c>
      <c r="K122" s="86">
        <v>0</v>
      </c>
      <c r="L122" s="86">
        <v>0</v>
      </c>
      <c r="M122" s="61">
        <v>0</v>
      </c>
      <c r="N122" s="61">
        <v>0</v>
      </c>
      <c r="O122" s="61">
        <v>0</v>
      </c>
      <c r="P122" s="61">
        <v>0</v>
      </c>
      <c r="Q122" s="61">
        <v>0</v>
      </c>
      <c r="R122" s="61">
        <v>0</v>
      </c>
      <c r="S122" s="61">
        <v>0</v>
      </c>
      <c r="T122" s="61">
        <v>0</v>
      </c>
      <c r="U122" s="61">
        <v>0</v>
      </c>
      <c r="V122" s="61">
        <v>0</v>
      </c>
      <c r="W122" s="61">
        <v>0</v>
      </c>
      <c r="X122" s="61">
        <v>0</v>
      </c>
      <c r="Y122" s="61">
        <v>0</v>
      </c>
      <c r="AA122" s="61">
        <v>0</v>
      </c>
      <c r="AB122" s="60">
        <v>0</v>
      </c>
      <c r="AD122" s="61">
        <v>0</v>
      </c>
      <c r="AE122" s="60">
        <v>0</v>
      </c>
    </row>
    <row r="123" spans="1:31" ht="18" customHeight="1" x14ac:dyDescent="0.2">
      <c r="A123" s="30" t="s">
        <v>64</v>
      </c>
      <c r="B123" s="30" t="s">
        <v>18</v>
      </c>
      <c r="C123" s="4">
        <v>0</v>
      </c>
      <c r="D123" s="4">
        <v>0</v>
      </c>
      <c r="F123" s="106" t="s">
        <v>202</v>
      </c>
      <c r="H123" s="61">
        <v>0</v>
      </c>
      <c r="I123" s="61">
        <v>0</v>
      </c>
      <c r="J123" s="61">
        <v>0</v>
      </c>
      <c r="K123" s="86">
        <v>0</v>
      </c>
      <c r="L123" s="86">
        <v>0</v>
      </c>
      <c r="M123" s="61">
        <v>0</v>
      </c>
      <c r="N123" s="61">
        <v>0</v>
      </c>
      <c r="O123" s="61">
        <v>0</v>
      </c>
      <c r="P123" s="61">
        <v>0</v>
      </c>
      <c r="Q123" s="61">
        <v>0</v>
      </c>
      <c r="R123" s="61">
        <v>0</v>
      </c>
      <c r="S123" s="61">
        <v>0</v>
      </c>
      <c r="T123" s="61">
        <v>0</v>
      </c>
      <c r="U123" s="61">
        <v>0</v>
      </c>
      <c r="V123" s="61">
        <v>0</v>
      </c>
      <c r="W123" s="61">
        <v>0</v>
      </c>
      <c r="X123" s="61">
        <v>0</v>
      </c>
      <c r="Y123" s="61">
        <v>0</v>
      </c>
      <c r="AA123" s="61">
        <v>0</v>
      </c>
      <c r="AB123" s="60">
        <v>0</v>
      </c>
      <c r="AD123" s="61">
        <v>0</v>
      </c>
      <c r="AE123" s="60">
        <v>0</v>
      </c>
    </row>
    <row r="124" spans="1:31" ht="18" hidden="1" customHeight="1" outlineLevel="1" x14ac:dyDescent="0.2">
      <c r="A124" s="30" t="s">
        <v>150</v>
      </c>
      <c r="B124" s="30" t="s">
        <v>18</v>
      </c>
      <c r="C124" s="4">
        <v>0</v>
      </c>
      <c r="D124" s="4">
        <v>0</v>
      </c>
      <c r="F124" s="38" t="s">
        <v>151</v>
      </c>
      <c r="G124" s="34"/>
      <c r="H124" s="66">
        <v>0</v>
      </c>
      <c r="I124" s="66">
        <v>0</v>
      </c>
      <c r="J124" s="66">
        <v>0</v>
      </c>
      <c r="K124" s="86">
        <v>0</v>
      </c>
      <c r="L124" s="86">
        <v>0</v>
      </c>
      <c r="M124" s="66">
        <v>0</v>
      </c>
      <c r="N124" s="66">
        <v>0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34"/>
      <c r="AA124" s="66">
        <v>0</v>
      </c>
      <c r="AB124" s="60">
        <v>0</v>
      </c>
      <c r="AC124" s="34"/>
      <c r="AD124" s="66">
        <v>0</v>
      </c>
      <c r="AE124" s="60">
        <v>0</v>
      </c>
    </row>
    <row r="125" spans="1:31" ht="18" hidden="1" customHeight="1" outlineLevel="1" x14ac:dyDescent="0.2">
      <c r="A125" s="30" t="s">
        <v>168</v>
      </c>
      <c r="B125" s="30" t="s">
        <v>18</v>
      </c>
      <c r="C125" s="4">
        <v>0</v>
      </c>
      <c r="D125" s="4">
        <v>0</v>
      </c>
      <c r="F125" s="38" t="s">
        <v>169</v>
      </c>
      <c r="G125" s="34"/>
      <c r="H125" s="66">
        <v>0</v>
      </c>
      <c r="I125" s="66">
        <v>0</v>
      </c>
      <c r="J125" s="66">
        <v>0</v>
      </c>
      <c r="K125" s="86">
        <v>0</v>
      </c>
      <c r="L125" s="8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34"/>
      <c r="AA125" s="66">
        <v>0</v>
      </c>
      <c r="AB125" s="60">
        <v>0</v>
      </c>
      <c r="AC125" s="34"/>
      <c r="AD125" s="66">
        <v>0</v>
      </c>
      <c r="AE125" s="60">
        <v>0</v>
      </c>
    </row>
    <row r="126" spans="1:31" ht="18" hidden="1" customHeight="1" outlineLevel="1" x14ac:dyDescent="0.2">
      <c r="A126" s="30" t="s">
        <v>170</v>
      </c>
      <c r="B126" s="30" t="s">
        <v>18</v>
      </c>
      <c r="C126" s="4">
        <v>0</v>
      </c>
      <c r="D126" s="4">
        <v>0</v>
      </c>
      <c r="F126" s="38" t="s">
        <v>171</v>
      </c>
      <c r="G126" s="34"/>
      <c r="H126" s="66">
        <v>0</v>
      </c>
      <c r="I126" s="66">
        <v>0</v>
      </c>
      <c r="J126" s="66">
        <v>0</v>
      </c>
      <c r="K126" s="86">
        <v>0</v>
      </c>
      <c r="L126" s="8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34"/>
      <c r="AA126" s="66">
        <v>0</v>
      </c>
      <c r="AB126" s="60">
        <v>0</v>
      </c>
      <c r="AC126" s="34"/>
      <c r="AD126" s="66">
        <v>0</v>
      </c>
      <c r="AE126" s="60">
        <v>0</v>
      </c>
    </row>
    <row r="127" spans="1:31" ht="18" customHeight="1" collapsed="1" x14ac:dyDescent="0.2">
      <c r="A127" s="35"/>
      <c r="B127" s="35"/>
      <c r="C127" s="4">
        <v>0</v>
      </c>
      <c r="D127" s="4">
        <v>0</v>
      </c>
      <c r="F127" s="106" t="s">
        <v>151</v>
      </c>
      <c r="H127" s="61">
        <v>0</v>
      </c>
      <c r="I127" s="61">
        <v>0</v>
      </c>
      <c r="J127" s="61">
        <v>0</v>
      </c>
      <c r="K127" s="86">
        <v>0</v>
      </c>
      <c r="L127" s="86">
        <v>0</v>
      </c>
      <c r="M127" s="61">
        <v>0</v>
      </c>
      <c r="N127" s="61">
        <v>0</v>
      </c>
      <c r="O127" s="61">
        <v>0</v>
      </c>
      <c r="P127" s="61">
        <v>0</v>
      </c>
      <c r="Q127" s="61">
        <v>0</v>
      </c>
      <c r="R127" s="61">
        <v>0</v>
      </c>
      <c r="S127" s="61">
        <v>0</v>
      </c>
      <c r="T127" s="61">
        <v>0</v>
      </c>
      <c r="U127" s="61">
        <v>0</v>
      </c>
      <c r="V127" s="61">
        <v>0</v>
      </c>
      <c r="W127" s="61">
        <v>0</v>
      </c>
      <c r="X127" s="61">
        <v>0</v>
      </c>
      <c r="Y127" s="61">
        <v>0</v>
      </c>
      <c r="AA127" s="61">
        <v>0</v>
      </c>
      <c r="AB127" s="60">
        <v>0</v>
      </c>
      <c r="AD127" s="61">
        <v>0</v>
      </c>
      <c r="AE127" s="60">
        <v>0</v>
      </c>
    </row>
    <row r="128" spans="1:31" ht="18" customHeight="1" collapsed="1" x14ac:dyDescent="0.2">
      <c r="A128" s="30" t="s">
        <v>146</v>
      </c>
      <c r="B128" s="30" t="s">
        <v>18</v>
      </c>
      <c r="C128" s="4">
        <v>0</v>
      </c>
      <c r="D128" s="4">
        <v>0</v>
      </c>
      <c r="F128" s="106" t="s">
        <v>147</v>
      </c>
      <c r="H128" s="61">
        <v>0</v>
      </c>
      <c r="I128" s="61">
        <v>0</v>
      </c>
      <c r="J128" s="61">
        <v>0</v>
      </c>
      <c r="K128" s="86">
        <v>0</v>
      </c>
      <c r="L128" s="86">
        <v>0</v>
      </c>
      <c r="M128" s="61">
        <v>0</v>
      </c>
      <c r="N128" s="61">
        <v>0</v>
      </c>
      <c r="O128" s="61">
        <v>0</v>
      </c>
      <c r="P128" s="61">
        <v>0</v>
      </c>
      <c r="Q128" s="61">
        <v>0</v>
      </c>
      <c r="R128" s="61">
        <v>0</v>
      </c>
      <c r="S128" s="61">
        <v>0</v>
      </c>
      <c r="T128" s="61">
        <v>0</v>
      </c>
      <c r="U128" s="61">
        <v>0</v>
      </c>
      <c r="V128" s="61">
        <v>0</v>
      </c>
      <c r="W128" s="61">
        <v>0</v>
      </c>
      <c r="X128" s="61">
        <v>0</v>
      </c>
      <c r="Y128" s="61">
        <v>0</v>
      </c>
      <c r="AA128" s="61">
        <v>0</v>
      </c>
      <c r="AB128" s="60">
        <v>0</v>
      </c>
      <c r="AD128" s="61">
        <v>0</v>
      </c>
      <c r="AE128" s="60">
        <v>0</v>
      </c>
    </row>
    <row r="129" spans="1:31" ht="18" hidden="1" customHeight="1" outlineLevel="1" x14ac:dyDescent="0.2">
      <c r="A129" s="30" t="s">
        <v>154</v>
      </c>
      <c r="B129" s="30" t="s">
        <v>18</v>
      </c>
      <c r="C129" s="4">
        <v>0</v>
      </c>
      <c r="D129" s="4">
        <v>0</v>
      </c>
      <c r="F129" s="38" t="s">
        <v>155</v>
      </c>
      <c r="G129" s="34"/>
      <c r="H129" s="66">
        <v>0</v>
      </c>
      <c r="I129" s="66">
        <v>0</v>
      </c>
      <c r="J129" s="66">
        <v>0</v>
      </c>
      <c r="K129" s="86">
        <v>0</v>
      </c>
      <c r="L129" s="8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34"/>
      <c r="AA129" s="66">
        <v>0</v>
      </c>
      <c r="AB129" s="60">
        <v>0</v>
      </c>
      <c r="AC129" s="34"/>
      <c r="AD129" s="66">
        <v>0</v>
      </c>
      <c r="AE129" s="60">
        <v>0</v>
      </c>
    </row>
    <row r="130" spans="1:31" ht="18" hidden="1" customHeight="1" outlineLevel="1" x14ac:dyDescent="0.2">
      <c r="A130" s="30" t="s">
        <v>156</v>
      </c>
      <c r="B130" s="30" t="s">
        <v>18</v>
      </c>
      <c r="C130" s="4">
        <v>0</v>
      </c>
      <c r="D130" s="4">
        <v>0</v>
      </c>
      <c r="F130" s="38" t="s">
        <v>157</v>
      </c>
      <c r="G130" s="34"/>
      <c r="H130" s="66">
        <v>0</v>
      </c>
      <c r="I130" s="66">
        <v>0</v>
      </c>
      <c r="J130" s="66">
        <v>0</v>
      </c>
      <c r="K130" s="86">
        <v>0</v>
      </c>
      <c r="L130" s="8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34"/>
      <c r="AA130" s="66">
        <v>0</v>
      </c>
      <c r="AB130" s="60">
        <v>0</v>
      </c>
      <c r="AC130" s="34"/>
      <c r="AD130" s="66">
        <v>0</v>
      </c>
      <c r="AE130" s="60">
        <v>0</v>
      </c>
    </row>
    <row r="131" spans="1:31" ht="18" hidden="1" customHeight="1" outlineLevel="1" x14ac:dyDescent="0.2">
      <c r="A131" s="30" t="s">
        <v>160</v>
      </c>
      <c r="B131" s="30" t="s">
        <v>18</v>
      </c>
      <c r="C131" s="4">
        <v>0</v>
      </c>
      <c r="D131" s="4">
        <v>0</v>
      </c>
      <c r="F131" s="38" t="s">
        <v>161</v>
      </c>
      <c r="G131" s="34"/>
      <c r="H131" s="66">
        <v>0</v>
      </c>
      <c r="I131" s="66">
        <v>0</v>
      </c>
      <c r="J131" s="66">
        <v>0</v>
      </c>
      <c r="K131" s="86">
        <v>0</v>
      </c>
      <c r="L131" s="8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34"/>
      <c r="AA131" s="66">
        <v>0</v>
      </c>
      <c r="AB131" s="60">
        <v>0</v>
      </c>
      <c r="AC131" s="34"/>
      <c r="AD131" s="66">
        <v>0</v>
      </c>
      <c r="AE131" s="60">
        <v>0</v>
      </c>
    </row>
    <row r="132" spans="1:31" ht="18" customHeight="1" collapsed="1" x14ac:dyDescent="0.2">
      <c r="A132" s="35"/>
      <c r="B132" s="35"/>
      <c r="C132" s="4">
        <v>0</v>
      </c>
      <c r="D132" s="4">
        <v>0</v>
      </c>
      <c r="F132" s="106" t="s">
        <v>378</v>
      </c>
      <c r="H132" s="61">
        <v>0</v>
      </c>
      <c r="I132" s="61">
        <v>0</v>
      </c>
      <c r="J132" s="61">
        <v>0</v>
      </c>
      <c r="K132" s="86">
        <v>0</v>
      </c>
      <c r="L132" s="86">
        <v>0</v>
      </c>
      <c r="M132" s="61">
        <v>0</v>
      </c>
      <c r="N132" s="61">
        <v>0</v>
      </c>
      <c r="O132" s="61">
        <v>0</v>
      </c>
      <c r="P132" s="61">
        <v>0</v>
      </c>
      <c r="Q132" s="61">
        <v>0</v>
      </c>
      <c r="R132" s="61">
        <v>0</v>
      </c>
      <c r="S132" s="61">
        <v>0</v>
      </c>
      <c r="T132" s="61">
        <v>0</v>
      </c>
      <c r="U132" s="61">
        <v>0</v>
      </c>
      <c r="V132" s="61">
        <v>0</v>
      </c>
      <c r="W132" s="61">
        <v>0</v>
      </c>
      <c r="X132" s="61">
        <v>0</v>
      </c>
      <c r="Y132" s="61">
        <v>0</v>
      </c>
      <c r="AA132" s="61">
        <v>0</v>
      </c>
      <c r="AB132" s="60">
        <v>0</v>
      </c>
      <c r="AD132" s="61">
        <v>0</v>
      </c>
      <c r="AE132" s="60">
        <v>0</v>
      </c>
    </row>
    <row r="133" spans="1:31" ht="18" hidden="1" customHeight="1" outlineLevel="1" x14ac:dyDescent="0.2">
      <c r="A133" s="30" t="s">
        <v>158</v>
      </c>
      <c r="B133" s="30" t="s">
        <v>18</v>
      </c>
      <c r="C133" s="4">
        <v>0</v>
      </c>
      <c r="D133" s="4">
        <v>0</v>
      </c>
      <c r="F133" s="38" t="s">
        <v>159</v>
      </c>
      <c r="G133" s="34"/>
      <c r="H133" s="66">
        <v>0</v>
      </c>
      <c r="I133" s="66">
        <v>0</v>
      </c>
      <c r="J133" s="66">
        <v>0</v>
      </c>
      <c r="K133" s="86">
        <v>0</v>
      </c>
      <c r="L133" s="8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34"/>
      <c r="AA133" s="66">
        <v>0</v>
      </c>
      <c r="AB133" s="60">
        <v>0</v>
      </c>
      <c r="AC133" s="34"/>
      <c r="AD133" s="66">
        <v>0</v>
      </c>
      <c r="AE133" s="60">
        <v>0</v>
      </c>
    </row>
    <row r="134" spans="1:31" ht="18" hidden="1" customHeight="1" outlineLevel="1" x14ac:dyDescent="0.2">
      <c r="A134" s="30" t="s">
        <v>152</v>
      </c>
      <c r="B134" s="30" t="s">
        <v>18</v>
      </c>
      <c r="C134" s="4">
        <v>0</v>
      </c>
      <c r="D134" s="4">
        <v>0</v>
      </c>
      <c r="F134" s="38" t="s">
        <v>153</v>
      </c>
      <c r="G134" s="34"/>
      <c r="H134" s="66">
        <v>0</v>
      </c>
      <c r="I134" s="66">
        <v>0</v>
      </c>
      <c r="J134" s="66">
        <v>0</v>
      </c>
      <c r="K134" s="86">
        <v>0</v>
      </c>
      <c r="L134" s="8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34"/>
      <c r="AA134" s="66">
        <v>0</v>
      </c>
      <c r="AB134" s="60">
        <v>0</v>
      </c>
      <c r="AC134" s="34"/>
      <c r="AD134" s="66">
        <v>0</v>
      </c>
      <c r="AE134" s="60">
        <v>0</v>
      </c>
    </row>
    <row r="135" spans="1:31" ht="18" hidden="1" customHeight="1" outlineLevel="1" x14ac:dyDescent="0.2">
      <c r="A135" s="30" t="s">
        <v>269</v>
      </c>
      <c r="B135" s="30" t="s">
        <v>18</v>
      </c>
      <c r="C135" s="4">
        <v>0</v>
      </c>
      <c r="D135" s="4">
        <v>0</v>
      </c>
      <c r="F135" s="38" t="s">
        <v>271</v>
      </c>
      <c r="G135" s="34"/>
      <c r="H135" s="66">
        <v>0</v>
      </c>
      <c r="I135" s="66">
        <v>0</v>
      </c>
      <c r="J135" s="66">
        <v>0</v>
      </c>
      <c r="K135" s="86">
        <v>0</v>
      </c>
      <c r="L135" s="8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34"/>
      <c r="AA135" s="66">
        <v>0</v>
      </c>
      <c r="AB135" s="60">
        <v>0</v>
      </c>
      <c r="AC135" s="34"/>
      <c r="AD135" s="66">
        <v>0</v>
      </c>
      <c r="AE135" s="60">
        <v>0</v>
      </c>
    </row>
    <row r="136" spans="1:31" ht="18" hidden="1" customHeight="1" outlineLevel="1" x14ac:dyDescent="0.2">
      <c r="A136" s="30" t="s">
        <v>270</v>
      </c>
      <c r="B136" s="30" t="s">
        <v>18</v>
      </c>
      <c r="C136" s="4">
        <v>0</v>
      </c>
      <c r="D136" s="4">
        <v>0</v>
      </c>
      <c r="F136" s="38" t="s">
        <v>272</v>
      </c>
      <c r="G136" s="34"/>
      <c r="H136" s="66">
        <v>0</v>
      </c>
      <c r="I136" s="66">
        <v>0</v>
      </c>
      <c r="J136" s="66">
        <v>0</v>
      </c>
      <c r="K136" s="86">
        <v>0</v>
      </c>
      <c r="L136" s="8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34"/>
      <c r="AA136" s="66">
        <v>0</v>
      </c>
      <c r="AB136" s="60">
        <v>0</v>
      </c>
      <c r="AC136" s="34"/>
      <c r="AD136" s="66">
        <v>0</v>
      </c>
      <c r="AE136" s="60">
        <v>0</v>
      </c>
    </row>
    <row r="137" spans="1:31" ht="18" hidden="1" customHeight="1" outlineLevel="1" x14ac:dyDescent="0.2">
      <c r="A137" s="30" t="s">
        <v>162</v>
      </c>
      <c r="B137" s="30" t="s">
        <v>18</v>
      </c>
      <c r="C137" s="4">
        <v>0</v>
      </c>
      <c r="D137" s="4">
        <v>0</v>
      </c>
      <c r="F137" s="38" t="s">
        <v>163</v>
      </c>
      <c r="G137" s="34"/>
      <c r="H137" s="66">
        <v>0</v>
      </c>
      <c r="I137" s="66">
        <v>0</v>
      </c>
      <c r="J137" s="66">
        <v>0</v>
      </c>
      <c r="K137" s="86">
        <v>0</v>
      </c>
      <c r="L137" s="8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34"/>
      <c r="AA137" s="66">
        <v>0</v>
      </c>
      <c r="AB137" s="60">
        <v>0</v>
      </c>
      <c r="AC137" s="34"/>
      <c r="AD137" s="66">
        <v>0</v>
      </c>
      <c r="AE137" s="60">
        <v>0</v>
      </c>
    </row>
    <row r="138" spans="1:31" ht="18" hidden="1" customHeight="1" outlineLevel="1" x14ac:dyDescent="0.2">
      <c r="A138" s="30" t="s">
        <v>164</v>
      </c>
      <c r="B138" s="30" t="s">
        <v>18</v>
      </c>
      <c r="C138" s="4">
        <v>0</v>
      </c>
      <c r="D138" s="4">
        <v>0</v>
      </c>
      <c r="F138" s="38" t="s">
        <v>165</v>
      </c>
      <c r="G138" s="34"/>
      <c r="H138" s="66">
        <v>0</v>
      </c>
      <c r="I138" s="66">
        <v>0</v>
      </c>
      <c r="J138" s="66">
        <v>0</v>
      </c>
      <c r="K138" s="86">
        <v>0</v>
      </c>
      <c r="L138" s="8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34"/>
      <c r="AA138" s="66">
        <v>0</v>
      </c>
      <c r="AB138" s="60">
        <v>0</v>
      </c>
      <c r="AC138" s="34"/>
      <c r="AD138" s="66">
        <v>0</v>
      </c>
      <c r="AE138" s="60">
        <v>0</v>
      </c>
    </row>
    <row r="139" spans="1:31" ht="18" hidden="1" customHeight="1" outlineLevel="1" x14ac:dyDescent="0.2">
      <c r="A139" s="30" t="s">
        <v>166</v>
      </c>
      <c r="B139" s="30" t="s">
        <v>18</v>
      </c>
      <c r="C139" s="4">
        <v>0</v>
      </c>
      <c r="D139" s="4">
        <v>0</v>
      </c>
      <c r="F139" s="38" t="s">
        <v>167</v>
      </c>
      <c r="G139" s="34"/>
      <c r="H139" s="66">
        <v>0</v>
      </c>
      <c r="I139" s="66">
        <v>0</v>
      </c>
      <c r="J139" s="66">
        <v>0</v>
      </c>
      <c r="K139" s="86">
        <v>0</v>
      </c>
      <c r="L139" s="8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34"/>
      <c r="AA139" s="66">
        <v>0</v>
      </c>
      <c r="AB139" s="60">
        <v>0</v>
      </c>
      <c r="AC139" s="34"/>
      <c r="AD139" s="66">
        <v>0</v>
      </c>
      <c r="AE139" s="60">
        <v>0</v>
      </c>
    </row>
    <row r="140" spans="1:31" ht="18" customHeight="1" collapsed="1" x14ac:dyDescent="0.2">
      <c r="A140" s="30" t="s">
        <v>408</v>
      </c>
      <c r="B140" s="30" t="s">
        <v>18</v>
      </c>
      <c r="C140" s="4"/>
      <c r="D140" s="4"/>
      <c r="F140" s="106" t="s">
        <v>409</v>
      </c>
      <c r="G140" s="34"/>
      <c r="H140" s="61">
        <v>0</v>
      </c>
      <c r="I140" s="61">
        <v>0</v>
      </c>
      <c r="J140" s="61">
        <v>0</v>
      </c>
      <c r="K140" s="86">
        <v>0</v>
      </c>
      <c r="L140" s="86">
        <v>0</v>
      </c>
      <c r="M140" s="61">
        <v>0</v>
      </c>
      <c r="N140" s="197">
        <v>0</v>
      </c>
      <c r="O140" s="61">
        <v>0</v>
      </c>
      <c r="P140" s="61">
        <v>0</v>
      </c>
      <c r="Q140" s="61">
        <v>0</v>
      </c>
      <c r="R140" s="61">
        <v>0</v>
      </c>
      <c r="S140" s="61">
        <v>0</v>
      </c>
      <c r="T140" s="61">
        <v>0</v>
      </c>
      <c r="U140" s="61">
        <v>0</v>
      </c>
      <c r="V140" s="61">
        <v>0</v>
      </c>
      <c r="W140" s="61">
        <v>0</v>
      </c>
      <c r="X140" s="61">
        <v>0</v>
      </c>
      <c r="Y140" s="61">
        <v>0</v>
      </c>
      <c r="AA140" s="241">
        <v>0</v>
      </c>
      <c r="AB140" s="60">
        <v>0</v>
      </c>
      <c r="AD140" s="61">
        <v>0</v>
      </c>
      <c r="AE140" s="60">
        <v>0</v>
      </c>
    </row>
    <row r="141" spans="1:31" ht="18" customHeight="1" x14ac:dyDescent="0.2">
      <c r="A141" s="35"/>
      <c r="B141" s="35"/>
      <c r="C141" s="4">
        <v>0</v>
      </c>
      <c r="D141" s="4">
        <v>0</v>
      </c>
      <c r="F141" s="106" t="s">
        <v>189</v>
      </c>
      <c r="H141" s="61">
        <v>0</v>
      </c>
      <c r="I141" s="61">
        <v>0</v>
      </c>
      <c r="J141" s="61">
        <v>0</v>
      </c>
      <c r="K141" s="86">
        <v>0</v>
      </c>
      <c r="L141" s="86">
        <v>0</v>
      </c>
      <c r="M141" s="61">
        <v>0</v>
      </c>
      <c r="N141" s="61">
        <v>0</v>
      </c>
      <c r="O141" s="61">
        <v>0</v>
      </c>
      <c r="P141" s="61">
        <v>0</v>
      </c>
      <c r="Q141" s="61">
        <v>0</v>
      </c>
      <c r="R141" s="61">
        <v>0</v>
      </c>
      <c r="S141" s="61">
        <v>0</v>
      </c>
      <c r="T141" s="61">
        <v>0</v>
      </c>
      <c r="U141" s="61">
        <v>0</v>
      </c>
      <c r="V141" s="61">
        <v>0</v>
      </c>
      <c r="W141" s="61">
        <v>0</v>
      </c>
      <c r="X141" s="61">
        <v>0</v>
      </c>
      <c r="Y141" s="61">
        <v>0</v>
      </c>
      <c r="AA141" s="61">
        <v>0</v>
      </c>
      <c r="AB141" s="60">
        <v>0</v>
      </c>
      <c r="AD141" s="61">
        <v>0</v>
      </c>
      <c r="AE141" s="60">
        <v>0</v>
      </c>
    </row>
    <row r="142" spans="1:31" ht="18" customHeight="1" x14ac:dyDescent="0.2">
      <c r="A142" s="35"/>
      <c r="B142" s="35"/>
      <c r="C142" s="4">
        <v>0</v>
      </c>
      <c r="D142" s="4">
        <v>0</v>
      </c>
      <c r="F142" s="95" t="s">
        <v>65</v>
      </c>
      <c r="H142" s="195">
        <v>-0.31</v>
      </c>
      <c r="I142" s="195">
        <v>0</v>
      </c>
      <c r="J142" s="64">
        <v>0</v>
      </c>
      <c r="K142" s="89">
        <v>0</v>
      </c>
      <c r="L142" s="89">
        <v>0</v>
      </c>
      <c r="M142" s="64">
        <v>0</v>
      </c>
      <c r="N142" s="64">
        <v>0</v>
      </c>
      <c r="O142" s="64">
        <v>0</v>
      </c>
      <c r="P142" s="64">
        <v>0</v>
      </c>
      <c r="Q142" s="64">
        <v>0</v>
      </c>
      <c r="R142" s="64">
        <v>0</v>
      </c>
      <c r="S142" s="64">
        <v>0</v>
      </c>
      <c r="T142" s="64">
        <v>0</v>
      </c>
      <c r="U142" s="64">
        <v>0</v>
      </c>
      <c r="V142" s="64">
        <v>0</v>
      </c>
      <c r="W142" s="64">
        <v>0</v>
      </c>
      <c r="X142" s="64">
        <v>0</v>
      </c>
      <c r="Y142" s="64">
        <v>0</v>
      </c>
      <c r="AA142" s="64">
        <v>0</v>
      </c>
      <c r="AB142" s="60">
        <v>0</v>
      </c>
      <c r="AD142" s="64">
        <v>0</v>
      </c>
      <c r="AE142" s="60">
        <v>0</v>
      </c>
    </row>
    <row r="143" spans="1:31" ht="12.95" customHeight="1" x14ac:dyDescent="0.2">
      <c r="A143" s="35"/>
      <c r="B143" s="35"/>
      <c r="C143" s="4"/>
      <c r="D143" s="4"/>
      <c r="F143" s="39" t="s">
        <v>223</v>
      </c>
      <c r="H143" s="56" t="e">
        <v>#DIV/0!</v>
      </c>
      <c r="I143" s="56">
        <v>0</v>
      </c>
      <c r="J143" s="56">
        <v>0</v>
      </c>
      <c r="K143" s="109" t="e">
        <v>#DIV/0!</v>
      </c>
      <c r="L143" s="109" t="e">
        <v>#DIV/0!</v>
      </c>
      <c r="M143" s="56" t="e">
        <v>#DIV/0!</v>
      </c>
      <c r="N143" s="56" t="e">
        <v>#DIV/0!</v>
      </c>
      <c r="O143" s="56" t="e">
        <v>#DIV/0!</v>
      </c>
      <c r="P143" s="56" t="e">
        <v>#DIV/0!</v>
      </c>
      <c r="Q143" s="56" t="e">
        <v>#DIV/0!</v>
      </c>
      <c r="R143" s="56" t="e">
        <v>#DIV/0!</v>
      </c>
      <c r="S143" s="56" t="e">
        <v>#DIV/0!</v>
      </c>
      <c r="T143" s="56" t="e">
        <v>#DIV/0!</v>
      </c>
      <c r="U143" s="56" t="e">
        <v>#DIV/0!</v>
      </c>
      <c r="V143" s="56" t="e">
        <v>#DIV/0!</v>
      </c>
      <c r="W143" s="56" t="e">
        <v>#DIV/0!</v>
      </c>
      <c r="X143" s="56" t="e">
        <v>#DIV/0!</v>
      </c>
      <c r="Y143" s="56" t="e">
        <v>#DIV/0!</v>
      </c>
      <c r="AA143" s="56" t="e">
        <v>#DIV/0!</v>
      </c>
      <c r="AB143" s="57"/>
      <c r="AD143" s="56" t="e">
        <v>#DIV/0!</v>
      </c>
      <c r="AE143" s="57"/>
    </row>
    <row r="144" spans="1:31" ht="6.95" customHeight="1" x14ac:dyDescent="0.2">
      <c r="C144" s="4"/>
      <c r="D144" s="4"/>
      <c r="F144" s="96"/>
      <c r="H144" s="16"/>
      <c r="I144" s="16"/>
      <c r="J144" s="16"/>
      <c r="K144" s="85"/>
      <c r="L144" s="85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AA144" s="16"/>
      <c r="AB144" s="20"/>
      <c r="AD144" s="16"/>
      <c r="AE144" s="20"/>
    </row>
    <row r="145" spans="1:31" ht="18" hidden="1" customHeight="1" outlineLevel="1" collapsed="1" x14ac:dyDescent="0.2">
      <c r="A145" s="35"/>
      <c r="B145" s="35"/>
      <c r="C145" s="4"/>
      <c r="D145" s="4"/>
      <c r="F145" s="97" t="s">
        <v>242</v>
      </c>
      <c r="H145" s="74">
        <v>-19.200599999999998</v>
      </c>
      <c r="I145" s="74">
        <v>0</v>
      </c>
      <c r="J145" s="74">
        <v>0</v>
      </c>
      <c r="K145" s="112">
        <v>0</v>
      </c>
      <c r="L145" s="112">
        <v>0</v>
      </c>
      <c r="M145" s="74">
        <v>0</v>
      </c>
      <c r="N145" s="74">
        <v>0</v>
      </c>
      <c r="O145" s="74">
        <v>0</v>
      </c>
      <c r="P145" s="74">
        <v>0</v>
      </c>
      <c r="Q145" s="74">
        <v>0</v>
      </c>
      <c r="R145" s="74">
        <v>0</v>
      </c>
      <c r="S145" s="74">
        <v>0</v>
      </c>
      <c r="T145" s="74">
        <v>0</v>
      </c>
      <c r="U145" s="74">
        <v>0</v>
      </c>
      <c r="V145" s="74">
        <v>0</v>
      </c>
      <c r="W145" s="74">
        <v>0</v>
      </c>
      <c r="X145" s="74">
        <v>0</v>
      </c>
      <c r="Y145" s="74">
        <v>0</v>
      </c>
      <c r="AA145" s="74">
        <v>0</v>
      </c>
      <c r="AB145" s="73">
        <v>0</v>
      </c>
      <c r="AD145" s="74">
        <v>0</v>
      </c>
      <c r="AE145" s="73">
        <v>0</v>
      </c>
    </row>
    <row r="146" spans="1:31" ht="18" customHeight="1" collapsed="1" x14ac:dyDescent="0.2">
      <c r="A146" s="30" t="s">
        <v>79</v>
      </c>
      <c r="B146" s="30" t="s">
        <v>18</v>
      </c>
      <c r="C146" s="4">
        <v>0</v>
      </c>
      <c r="D146" s="4">
        <v>0</v>
      </c>
      <c r="F146" s="106" t="s">
        <v>83</v>
      </c>
      <c r="H146" s="61">
        <v>960.03</v>
      </c>
      <c r="I146" s="61">
        <v>0</v>
      </c>
      <c r="J146" s="61">
        <v>0</v>
      </c>
      <c r="K146" s="86">
        <v>0</v>
      </c>
      <c r="L146" s="86">
        <v>0</v>
      </c>
      <c r="M146" s="61">
        <v>0</v>
      </c>
      <c r="N146" s="61">
        <v>0</v>
      </c>
      <c r="O146" s="61">
        <v>0</v>
      </c>
      <c r="P146" s="61">
        <v>0</v>
      </c>
      <c r="Q146" s="61">
        <v>0</v>
      </c>
      <c r="R146" s="61">
        <v>0</v>
      </c>
      <c r="S146" s="61">
        <v>0</v>
      </c>
      <c r="T146" s="61">
        <v>0</v>
      </c>
      <c r="U146" s="61">
        <v>0</v>
      </c>
      <c r="V146" s="61">
        <v>0</v>
      </c>
      <c r="W146" s="61">
        <v>0</v>
      </c>
      <c r="X146" s="61">
        <v>0</v>
      </c>
      <c r="Y146" s="61">
        <v>0</v>
      </c>
      <c r="AA146" s="61">
        <v>0</v>
      </c>
      <c r="AB146" s="60">
        <v>0</v>
      </c>
      <c r="AD146" s="61">
        <v>0</v>
      </c>
      <c r="AE146" s="60">
        <v>0</v>
      </c>
    </row>
    <row r="147" spans="1:31" ht="18" customHeight="1" x14ac:dyDescent="0.2">
      <c r="A147" s="30" t="s">
        <v>80</v>
      </c>
      <c r="B147" s="30" t="s">
        <v>18</v>
      </c>
      <c r="C147" s="4">
        <v>0</v>
      </c>
      <c r="D147" s="4">
        <v>0</v>
      </c>
      <c r="F147" s="106" t="s">
        <v>84</v>
      </c>
      <c r="H147" s="61">
        <v>0</v>
      </c>
      <c r="I147" s="61">
        <v>0</v>
      </c>
      <c r="J147" s="61">
        <v>0</v>
      </c>
      <c r="K147" s="86">
        <v>0</v>
      </c>
      <c r="L147" s="86">
        <v>0</v>
      </c>
      <c r="M147" s="61">
        <v>0</v>
      </c>
      <c r="N147" s="61">
        <v>0</v>
      </c>
      <c r="O147" s="61">
        <v>0</v>
      </c>
      <c r="P147" s="61">
        <v>0</v>
      </c>
      <c r="Q147" s="61">
        <v>0</v>
      </c>
      <c r="R147" s="61">
        <v>0</v>
      </c>
      <c r="S147" s="61">
        <v>0</v>
      </c>
      <c r="T147" s="61">
        <v>0</v>
      </c>
      <c r="U147" s="61">
        <v>0</v>
      </c>
      <c r="V147" s="61">
        <v>0</v>
      </c>
      <c r="W147" s="61">
        <v>0</v>
      </c>
      <c r="X147" s="61">
        <v>0</v>
      </c>
      <c r="Y147" s="61">
        <v>0</v>
      </c>
      <c r="AA147" s="61">
        <v>0</v>
      </c>
      <c r="AB147" s="60">
        <v>0</v>
      </c>
      <c r="AD147" s="61">
        <v>0</v>
      </c>
      <c r="AE147" s="60">
        <v>0</v>
      </c>
    </row>
    <row r="148" spans="1:31" ht="18" customHeight="1" x14ac:dyDescent="0.2">
      <c r="A148" s="30" t="s">
        <v>81</v>
      </c>
      <c r="B148" s="30" t="s">
        <v>18</v>
      </c>
      <c r="C148" s="4">
        <v>1.0030395136778116</v>
      </c>
      <c r="D148" s="4">
        <v>1.0030395136778116</v>
      </c>
      <c r="F148" s="106" t="s">
        <v>85</v>
      </c>
      <c r="H148" s="61">
        <v>-0.90400000000000003</v>
      </c>
      <c r="I148" s="61">
        <v>0.57799999999999996</v>
      </c>
      <c r="J148" s="61">
        <v>0.57799999999999996</v>
      </c>
      <c r="K148" s="86">
        <v>0</v>
      </c>
      <c r="L148" s="86">
        <v>0</v>
      </c>
      <c r="M148" s="61">
        <v>0</v>
      </c>
      <c r="N148" s="61">
        <v>0</v>
      </c>
      <c r="O148" s="61">
        <v>0</v>
      </c>
      <c r="P148" s="61">
        <v>0</v>
      </c>
      <c r="Q148" s="61">
        <v>0</v>
      </c>
      <c r="R148" s="61">
        <v>0</v>
      </c>
      <c r="S148" s="61">
        <v>0</v>
      </c>
      <c r="T148" s="61">
        <v>0</v>
      </c>
      <c r="U148" s="61">
        <v>0</v>
      </c>
      <c r="V148" s="61">
        <v>0.13100000000000001</v>
      </c>
      <c r="W148" s="61">
        <v>0.19800000000000001</v>
      </c>
      <c r="X148" s="61">
        <v>0</v>
      </c>
      <c r="Y148" s="61">
        <v>0.32900000000000001</v>
      </c>
      <c r="AA148" s="61">
        <v>0</v>
      </c>
      <c r="AB148" s="60">
        <v>0.33</v>
      </c>
      <c r="AD148" s="61">
        <v>0</v>
      </c>
      <c r="AE148" s="60">
        <v>0.33</v>
      </c>
    </row>
    <row r="149" spans="1:31" ht="18" customHeight="1" x14ac:dyDescent="0.2">
      <c r="A149" s="30" t="s">
        <v>204</v>
      </c>
      <c r="B149" s="30" t="s">
        <v>18</v>
      </c>
      <c r="C149" s="4">
        <v>0.99930843706777328</v>
      </c>
      <c r="D149" s="4">
        <v>0.99930843706777328</v>
      </c>
      <c r="F149" s="104" t="s">
        <v>139</v>
      </c>
      <c r="G149" s="36"/>
      <c r="H149" s="65">
        <v>1.5</v>
      </c>
      <c r="I149" s="65">
        <v>0.5</v>
      </c>
      <c r="J149" s="65">
        <v>0.5</v>
      </c>
      <c r="K149" s="65">
        <v>0</v>
      </c>
      <c r="L149" s="65">
        <v>0</v>
      </c>
      <c r="M149" s="65">
        <v>0</v>
      </c>
      <c r="N149" s="65">
        <v>0</v>
      </c>
      <c r="O149" s="65">
        <v>5.7839999999999998</v>
      </c>
      <c r="P149" s="65">
        <v>0</v>
      </c>
      <c r="Q149" s="65">
        <v>0</v>
      </c>
      <c r="R149" s="65">
        <v>0</v>
      </c>
      <c r="S149" s="65">
        <v>0</v>
      </c>
      <c r="T149" s="65">
        <v>0</v>
      </c>
      <c r="U149" s="65">
        <v>0</v>
      </c>
      <c r="V149" s="65">
        <v>0</v>
      </c>
      <c r="W149" s="65">
        <v>0</v>
      </c>
      <c r="X149" s="65">
        <v>0</v>
      </c>
      <c r="Y149" s="65">
        <v>5.7839999999999998</v>
      </c>
      <c r="Z149" s="36"/>
      <c r="AA149" s="65">
        <v>0</v>
      </c>
      <c r="AB149" s="60">
        <v>5.78</v>
      </c>
      <c r="AC149" s="36"/>
      <c r="AD149" s="65">
        <v>0</v>
      </c>
      <c r="AE149" s="60">
        <v>5.78</v>
      </c>
    </row>
    <row r="150" spans="1:31" ht="18" customHeight="1" x14ac:dyDescent="0.2">
      <c r="A150" s="30" t="s">
        <v>82</v>
      </c>
      <c r="B150" s="30" t="s">
        <v>18</v>
      </c>
      <c r="C150" s="4">
        <v>1.0869565217391306</v>
      </c>
      <c r="D150" s="4">
        <v>1.0869565217391306</v>
      </c>
      <c r="F150" s="106" t="s">
        <v>86</v>
      </c>
      <c r="H150" s="61">
        <v>-0.74099999999999999</v>
      </c>
      <c r="I150" s="61">
        <v>2.3E-2</v>
      </c>
      <c r="J150" s="61">
        <v>2.3E-2</v>
      </c>
      <c r="K150" s="86">
        <v>0</v>
      </c>
      <c r="L150" s="86">
        <v>0</v>
      </c>
      <c r="M150" s="61">
        <v>0</v>
      </c>
      <c r="N150" s="61">
        <v>0</v>
      </c>
      <c r="O150" s="61">
        <v>0</v>
      </c>
      <c r="P150" s="61">
        <v>0</v>
      </c>
      <c r="Q150" s="61">
        <v>0</v>
      </c>
      <c r="R150" s="61">
        <v>0</v>
      </c>
      <c r="S150" s="61">
        <v>0</v>
      </c>
      <c r="T150" s="61">
        <v>0</v>
      </c>
      <c r="U150" s="61">
        <v>0</v>
      </c>
      <c r="V150" s="61">
        <v>4.5999999999999999E-2</v>
      </c>
      <c r="W150" s="61">
        <v>0</v>
      </c>
      <c r="X150" s="61">
        <v>0</v>
      </c>
      <c r="Y150" s="61">
        <v>4.5999999999999999E-2</v>
      </c>
      <c r="AA150" s="61">
        <v>0</v>
      </c>
      <c r="AB150" s="60">
        <v>0.05</v>
      </c>
      <c r="AD150" s="61">
        <v>0</v>
      </c>
      <c r="AE150" s="60">
        <v>0.05</v>
      </c>
    </row>
    <row r="151" spans="1:31" ht="18" hidden="1" customHeight="1" outlineLevel="1" x14ac:dyDescent="0.2">
      <c r="A151" s="30" t="s">
        <v>140</v>
      </c>
      <c r="B151" s="30" t="s">
        <v>18</v>
      </c>
      <c r="C151" s="4">
        <v>0</v>
      </c>
      <c r="D151" s="4">
        <v>0</v>
      </c>
      <c r="F151" s="38" t="s">
        <v>141</v>
      </c>
      <c r="G151" s="34"/>
      <c r="H151" s="66">
        <v>0</v>
      </c>
      <c r="I151" s="66">
        <v>0</v>
      </c>
      <c r="J151" s="66">
        <v>0</v>
      </c>
      <c r="K151" s="86">
        <v>0</v>
      </c>
      <c r="L151" s="8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34"/>
      <c r="AA151" s="66">
        <v>0</v>
      </c>
      <c r="AB151" s="60">
        <v>0</v>
      </c>
      <c r="AC151" s="34"/>
      <c r="AD151" s="66">
        <v>0</v>
      </c>
      <c r="AE151" s="60">
        <v>0</v>
      </c>
    </row>
    <row r="152" spans="1:31" ht="18" hidden="1" customHeight="1" outlineLevel="1" x14ac:dyDescent="0.2">
      <c r="A152" s="30" t="s">
        <v>123</v>
      </c>
      <c r="B152" s="30" t="s">
        <v>18</v>
      </c>
      <c r="C152" s="4">
        <v>0</v>
      </c>
      <c r="D152" s="4">
        <v>0</v>
      </c>
      <c r="F152" s="38" t="s">
        <v>142</v>
      </c>
      <c r="G152" s="34"/>
      <c r="H152" s="66">
        <v>0</v>
      </c>
      <c r="I152" s="66">
        <v>0</v>
      </c>
      <c r="J152" s="66">
        <v>0</v>
      </c>
      <c r="K152" s="86">
        <v>0</v>
      </c>
      <c r="L152" s="8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34"/>
      <c r="AA152" s="66">
        <v>0</v>
      </c>
      <c r="AB152" s="60">
        <v>0</v>
      </c>
      <c r="AC152" s="34"/>
      <c r="AD152" s="66">
        <v>0</v>
      </c>
      <c r="AE152" s="60">
        <v>0</v>
      </c>
    </row>
    <row r="153" spans="1:31" ht="18" hidden="1" customHeight="1" outlineLevel="1" x14ac:dyDescent="0.2">
      <c r="A153" s="30" t="s">
        <v>124</v>
      </c>
      <c r="B153" s="30" t="s">
        <v>18</v>
      </c>
      <c r="C153" s="4">
        <v>0</v>
      </c>
      <c r="D153" s="4">
        <v>0</v>
      </c>
      <c r="F153" s="38" t="s">
        <v>143</v>
      </c>
      <c r="G153" s="34"/>
      <c r="H153" s="66">
        <v>0</v>
      </c>
      <c r="I153" s="66">
        <v>0</v>
      </c>
      <c r="J153" s="66">
        <v>0</v>
      </c>
      <c r="K153" s="86">
        <v>0</v>
      </c>
      <c r="L153" s="8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34"/>
      <c r="AA153" s="66">
        <v>0</v>
      </c>
      <c r="AB153" s="60">
        <v>0</v>
      </c>
      <c r="AC153" s="34"/>
      <c r="AD153" s="66">
        <v>0</v>
      </c>
      <c r="AE153" s="60">
        <v>0</v>
      </c>
    </row>
    <row r="154" spans="1:31" ht="18" hidden="1" customHeight="1" outlineLevel="1" x14ac:dyDescent="0.2">
      <c r="A154" s="30" t="s">
        <v>265</v>
      </c>
      <c r="B154" s="30" t="s">
        <v>18</v>
      </c>
      <c r="C154" s="4">
        <v>0</v>
      </c>
      <c r="D154" s="4">
        <v>0</v>
      </c>
      <c r="F154" s="38" t="s">
        <v>266</v>
      </c>
      <c r="G154" s="34"/>
      <c r="H154" s="66">
        <v>0</v>
      </c>
      <c r="I154" s="66">
        <v>0</v>
      </c>
      <c r="J154" s="66">
        <v>0</v>
      </c>
      <c r="K154" s="86">
        <v>0</v>
      </c>
      <c r="L154" s="8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34"/>
      <c r="AA154" s="66">
        <v>0</v>
      </c>
      <c r="AB154" s="60">
        <v>0</v>
      </c>
      <c r="AC154" s="34"/>
      <c r="AD154" s="66">
        <v>0</v>
      </c>
      <c r="AE154" s="60">
        <v>0</v>
      </c>
    </row>
    <row r="155" spans="1:31" ht="18" hidden="1" customHeight="1" outlineLevel="1" x14ac:dyDescent="0.2">
      <c r="A155" s="30" t="s">
        <v>144</v>
      </c>
      <c r="B155" s="30" t="s">
        <v>18</v>
      </c>
      <c r="C155" s="4">
        <v>0</v>
      </c>
      <c r="D155" s="4">
        <v>0</v>
      </c>
      <c r="F155" s="38" t="s">
        <v>145</v>
      </c>
      <c r="G155" s="34"/>
      <c r="H155" s="66">
        <v>0</v>
      </c>
      <c r="I155" s="66">
        <v>0</v>
      </c>
      <c r="J155" s="66">
        <v>0</v>
      </c>
      <c r="K155" s="86">
        <v>0</v>
      </c>
      <c r="L155" s="8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34"/>
      <c r="AA155" s="66">
        <v>0</v>
      </c>
      <c r="AB155" s="60">
        <v>0</v>
      </c>
      <c r="AC155" s="34"/>
      <c r="AD155" s="66">
        <v>0</v>
      </c>
      <c r="AE155" s="60">
        <v>0</v>
      </c>
    </row>
    <row r="156" spans="1:31" ht="18" customHeight="1" collapsed="1" x14ac:dyDescent="0.2">
      <c r="A156" s="35"/>
      <c r="B156" s="35"/>
      <c r="C156" s="4">
        <v>0</v>
      </c>
      <c r="D156" s="4">
        <v>0</v>
      </c>
      <c r="F156" s="106" t="s">
        <v>69</v>
      </c>
      <c r="H156" s="61">
        <v>0</v>
      </c>
      <c r="I156" s="61">
        <v>0</v>
      </c>
      <c r="J156" s="61">
        <v>0</v>
      </c>
      <c r="K156" s="86">
        <v>0</v>
      </c>
      <c r="L156" s="86">
        <v>0</v>
      </c>
      <c r="M156" s="61">
        <v>0</v>
      </c>
      <c r="N156" s="61">
        <v>0</v>
      </c>
      <c r="O156" s="61">
        <v>0</v>
      </c>
      <c r="P156" s="61">
        <v>0</v>
      </c>
      <c r="Q156" s="61">
        <v>0</v>
      </c>
      <c r="R156" s="61">
        <v>0</v>
      </c>
      <c r="S156" s="61">
        <v>0</v>
      </c>
      <c r="T156" s="61">
        <v>0</v>
      </c>
      <c r="U156" s="61">
        <v>0</v>
      </c>
      <c r="V156" s="61">
        <v>0</v>
      </c>
      <c r="W156" s="61">
        <v>0</v>
      </c>
      <c r="X156" s="61">
        <v>0</v>
      </c>
      <c r="Y156" s="61">
        <v>0</v>
      </c>
      <c r="AA156" s="61">
        <v>0</v>
      </c>
      <c r="AB156" s="60">
        <v>0</v>
      </c>
      <c r="AD156" s="61">
        <v>0</v>
      </c>
      <c r="AE156" s="60">
        <v>0</v>
      </c>
    </row>
    <row r="157" spans="1:31" ht="18" customHeight="1" x14ac:dyDescent="0.2">
      <c r="A157" s="35"/>
      <c r="B157" s="35"/>
      <c r="C157" s="4">
        <v>1.0001623640201331</v>
      </c>
      <c r="D157" s="4">
        <v>1.0001623640201331</v>
      </c>
      <c r="F157" s="95" t="s">
        <v>276</v>
      </c>
      <c r="H157" s="64">
        <v>959.88499999999999</v>
      </c>
      <c r="I157" s="64">
        <v>1.1009999999999998</v>
      </c>
      <c r="J157" s="64">
        <v>1.1009999999999998</v>
      </c>
      <c r="K157" s="89">
        <v>0</v>
      </c>
      <c r="L157" s="89">
        <v>0</v>
      </c>
      <c r="M157" s="64">
        <v>0</v>
      </c>
      <c r="N157" s="64">
        <v>0</v>
      </c>
      <c r="O157" s="64">
        <v>5.7839999999999998</v>
      </c>
      <c r="P157" s="64">
        <v>0</v>
      </c>
      <c r="Q157" s="64">
        <v>0</v>
      </c>
      <c r="R157" s="64">
        <v>0</v>
      </c>
      <c r="S157" s="64">
        <v>0</v>
      </c>
      <c r="T157" s="64">
        <v>0</v>
      </c>
      <c r="U157" s="64">
        <v>0</v>
      </c>
      <c r="V157" s="64">
        <v>0.17699999999999999</v>
      </c>
      <c r="W157" s="64">
        <v>0.19800000000000001</v>
      </c>
      <c r="X157" s="64">
        <v>0</v>
      </c>
      <c r="Y157" s="64">
        <v>6.1589999999999998</v>
      </c>
      <c r="AA157" s="64">
        <v>0</v>
      </c>
      <c r="AB157" s="60">
        <v>6.16</v>
      </c>
      <c r="AD157" s="64">
        <v>0</v>
      </c>
      <c r="AE157" s="60">
        <v>6.16</v>
      </c>
    </row>
    <row r="158" spans="1:31" ht="12.95" customHeight="1" x14ac:dyDescent="0.2">
      <c r="A158" s="35"/>
      <c r="B158" s="35"/>
      <c r="C158" s="4"/>
      <c r="D158" s="4"/>
      <c r="F158" s="39" t="s">
        <v>223</v>
      </c>
      <c r="H158" s="56" t="e">
        <v>#DIV/0!</v>
      </c>
      <c r="I158" s="56">
        <v>0.51909476661951903</v>
      </c>
      <c r="J158" s="56">
        <v>0.51909476661951903</v>
      </c>
      <c r="K158" s="109" t="e">
        <v>#DIV/0!</v>
      </c>
      <c r="L158" s="109" t="e">
        <v>#DIV/0!</v>
      </c>
      <c r="M158" s="56" t="e">
        <v>#DIV/0!</v>
      </c>
      <c r="N158" s="56" t="e">
        <v>#DIV/0!</v>
      </c>
      <c r="O158" s="56" t="e">
        <v>#DIV/0!</v>
      </c>
      <c r="P158" s="56" t="e">
        <v>#DIV/0!</v>
      </c>
      <c r="Q158" s="56" t="e">
        <v>#DIV/0!</v>
      </c>
      <c r="R158" s="56" t="e">
        <v>#DIV/0!</v>
      </c>
      <c r="S158" s="56" t="e">
        <v>#DIV/0!</v>
      </c>
      <c r="T158" s="56" t="e">
        <v>#DIV/0!</v>
      </c>
      <c r="U158" s="56" t="e">
        <v>#DIV/0!</v>
      </c>
      <c r="V158" s="56" t="e">
        <v>#DIV/0!</v>
      </c>
      <c r="W158" s="56" t="e">
        <v>#DIV/0!</v>
      </c>
      <c r="X158" s="56" t="e">
        <v>#DIV/0!</v>
      </c>
      <c r="Y158" s="56" t="e">
        <v>#DIV/0!</v>
      </c>
      <c r="AA158" s="56" t="e">
        <v>#DIV/0!</v>
      </c>
      <c r="AB158" s="57"/>
      <c r="AD158" s="56" t="e">
        <v>#DIV/0!</v>
      </c>
      <c r="AE158" s="57"/>
    </row>
    <row r="159" spans="1:31" ht="6.95" customHeight="1" x14ac:dyDescent="0.2">
      <c r="C159" s="4"/>
      <c r="D159" s="4"/>
      <c r="F159" s="96"/>
      <c r="H159" s="16"/>
      <c r="I159" s="16"/>
      <c r="J159" s="16"/>
      <c r="K159" s="85"/>
      <c r="L159" s="85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AA159" s="16"/>
      <c r="AB159" s="20"/>
      <c r="AD159" s="16"/>
      <c r="AE159" s="20"/>
    </row>
    <row r="160" spans="1:31" ht="18" customHeight="1" x14ac:dyDescent="0.2">
      <c r="A160" s="30" t="s">
        <v>89</v>
      </c>
      <c r="B160" s="30" t="s">
        <v>18</v>
      </c>
      <c r="C160" s="4">
        <v>0</v>
      </c>
      <c r="D160" s="4">
        <v>0</v>
      </c>
      <c r="F160" s="106" t="s">
        <v>187</v>
      </c>
      <c r="H160" s="61">
        <v>-0.70599999999999996</v>
      </c>
      <c r="I160" s="61">
        <v>-10.62</v>
      </c>
      <c r="J160" s="61">
        <v>-10.62</v>
      </c>
      <c r="K160" s="86">
        <v>0</v>
      </c>
      <c r="L160" s="86">
        <v>0</v>
      </c>
      <c r="M160" s="61">
        <v>0</v>
      </c>
      <c r="N160" s="61">
        <v>0</v>
      </c>
      <c r="O160" s="61">
        <v>0</v>
      </c>
      <c r="P160" s="61">
        <v>0</v>
      </c>
      <c r="Q160" s="61">
        <v>0</v>
      </c>
      <c r="R160" s="61">
        <v>0</v>
      </c>
      <c r="S160" s="61">
        <v>0</v>
      </c>
      <c r="T160" s="61">
        <v>0</v>
      </c>
      <c r="U160" s="61">
        <v>0</v>
      </c>
      <c r="V160" s="61">
        <v>0</v>
      </c>
      <c r="W160" s="61">
        <v>0</v>
      </c>
      <c r="X160" s="61">
        <v>0</v>
      </c>
      <c r="Y160" s="61">
        <v>0</v>
      </c>
      <c r="AA160" s="61">
        <v>0</v>
      </c>
      <c r="AB160" s="60">
        <v>0</v>
      </c>
      <c r="AD160" s="61">
        <v>0</v>
      </c>
      <c r="AE160" s="60">
        <v>0</v>
      </c>
    </row>
    <row r="161" spans="1:31" ht="18" customHeight="1" x14ac:dyDescent="0.2">
      <c r="A161" s="30" t="s">
        <v>75</v>
      </c>
      <c r="B161" s="30" t="s">
        <v>18</v>
      </c>
      <c r="C161" s="4">
        <v>0</v>
      </c>
      <c r="D161" s="4">
        <v>0</v>
      </c>
      <c r="F161" s="106" t="s">
        <v>94</v>
      </c>
      <c r="H161" s="61">
        <v>-0.05</v>
      </c>
      <c r="I161" s="61">
        <v>-0.32</v>
      </c>
      <c r="J161" s="61">
        <v>-0.32</v>
      </c>
      <c r="K161" s="86">
        <v>0</v>
      </c>
      <c r="L161" s="86">
        <v>0</v>
      </c>
      <c r="M161" s="61">
        <v>0</v>
      </c>
      <c r="N161" s="61">
        <v>0</v>
      </c>
      <c r="O161" s="61">
        <v>0</v>
      </c>
      <c r="P161" s="61">
        <v>0</v>
      </c>
      <c r="Q161" s="61">
        <v>0</v>
      </c>
      <c r="R161" s="61">
        <v>0</v>
      </c>
      <c r="S161" s="61">
        <v>0</v>
      </c>
      <c r="T161" s="61">
        <v>0</v>
      </c>
      <c r="U161" s="61">
        <v>0</v>
      </c>
      <c r="V161" s="61">
        <v>0</v>
      </c>
      <c r="W161" s="61">
        <v>0</v>
      </c>
      <c r="X161" s="61">
        <v>0</v>
      </c>
      <c r="Y161" s="61">
        <v>0</v>
      </c>
      <c r="AA161" s="61">
        <v>0</v>
      </c>
      <c r="AB161" s="60">
        <v>0</v>
      </c>
      <c r="AD161" s="61">
        <v>0</v>
      </c>
      <c r="AE161" s="60">
        <v>0</v>
      </c>
    </row>
    <row r="162" spans="1:31" ht="18" customHeight="1" x14ac:dyDescent="0.2">
      <c r="A162" s="30" t="s">
        <v>91</v>
      </c>
      <c r="B162" s="30" t="s">
        <v>18</v>
      </c>
      <c r="C162" s="4">
        <v>0</v>
      </c>
      <c r="D162" s="4">
        <v>0</v>
      </c>
      <c r="F162" s="106" t="s">
        <v>96</v>
      </c>
      <c r="H162" s="61">
        <v>0</v>
      </c>
      <c r="I162" s="61">
        <v>0</v>
      </c>
      <c r="J162" s="61">
        <v>0</v>
      </c>
      <c r="K162" s="86">
        <v>0</v>
      </c>
      <c r="L162" s="86">
        <v>0</v>
      </c>
      <c r="M162" s="61">
        <v>0</v>
      </c>
      <c r="N162" s="61">
        <v>0</v>
      </c>
      <c r="O162" s="61">
        <v>0</v>
      </c>
      <c r="P162" s="61">
        <v>0</v>
      </c>
      <c r="Q162" s="61">
        <v>0</v>
      </c>
      <c r="R162" s="61">
        <v>0</v>
      </c>
      <c r="S162" s="61">
        <v>0</v>
      </c>
      <c r="T162" s="61">
        <v>0</v>
      </c>
      <c r="U162" s="61">
        <v>0</v>
      </c>
      <c r="V162" s="61">
        <v>0</v>
      </c>
      <c r="W162" s="61">
        <v>0</v>
      </c>
      <c r="X162" s="61">
        <v>0</v>
      </c>
      <c r="Y162" s="61">
        <v>0</v>
      </c>
      <c r="AA162" s="61">
        <v>0</v>
      </c>
      <c r="AB162" s="60">
        <v>0</v>
      </c>
      <c r="AD162" s="61">
        <v>0</v>
      </c>
      <c r="AE162" s="60">
        <v>0</v>
      </c>
    </row>
    <row r="163" spans="1:31" ht="18" customHeight="1" x14ac:dyDescent="0.2">
      <c r="A163" s="30" t="s">
        <v>74</v>
      </c>
      <c r="B163" s="30" t="s">
        <v>18</v>
      </c>
      <c r="C163" s="4">
        <v>-0.98159509202453987</v>
      </c>
      <c r="D163" s="4">
        <v>-0.98159509202453987</v>
      </c>
      <c r="F163" s="106" t="s">
        <v>97</v>
      </c>
      <c r="H163" s="61">
        <v>-0.23499999999999999</v>
      </c>
      <c r="I163" s="61">
        <v>-0.22900000000000001</v>
      </c>
      <c r="J163" s="61">
        <v>-0.22900000000000001</v>
      </c>
      <c r="K163" s="86">
        <v>0</v>
      </c>
      <c r="L163" s="86">
        <v>0</v>
      </c>
      <c r="M163" s="61">
        <v>-1.9E-2</v>
      </c>
      <c r="N163" s="61">
        <v>-0.02</v>
      </c>
      <c r="O163" s="61">
        <v>-1.9000000000000003E-2</v>
      </c>
      <c r="P163" s="61">
        <v>-1.9999999999999997E-2</v>
      </c>
      <c r="Q163" s="61">
        <v>-1.8000000000000002E-2</v>
      </c>
      <c r="R163" s="61">
        <v>-1.9000000000000003E-2</v>
      </c>
      <c r="S163" s="61">
        <v>-2.5999999999999981E-2</v>
      </c>
      <c r="T163" s="61">
        <v>-1.3000000000000012E-2</v>
      </c>
      <c r="U163" s="61">
        <v>-1.3000000000000012E-2</v>
      </c>
      <c r="V163" s="61">
        <v>-1.2999999999999984E-2</v>
      </c>
      <c r="W163" s="61">
        <v>-1.4000000000000012E-2</v>
      </c>
      <c r="X163" s="61">
        <v>3.1E-2</v>
      </c>
      <c r="Y163" s="61">
        <v>-0.16300000000000001</v>
      </c>
      <c r="AA163" s="61">
        <v>0</v>
      </c>
      <c r="AB163" s="60">
        <v>-0.16</v>
      </c>
      <c r="AD163" s="61">
        <v>0</v>
      </c>
      <c r="AE163" s="60">
        <v>-0.16</v>
      </c>
    </row>
    <row r="164" spans="1:31" ht="18" customHeight="1" x14ac:dyDescent="0.2">
      <c r="A164" s="30" t="s">
        <v>92</v>
      </c>
      <c r="B164" s="30" t="s">
        <v>18</v>
      </c>
      <c r="C164" s="4">
        <v>0</v>
      </c>
      <c r="D164" s="4">
        <v>0</v>
      </c>
      <c r="F164" s="106" t="s">
        <v>98</v>
      </c>
      <c r="H164" s="61">
        <v>-0.64300000000000002</v>
      </c>
      <c r="I164" s="61">
        <v>-0.377</v>
      </c>
      <c r="J164" s="61">
        <v>-0.377</v>
      </c>
      <c r="K164" s="86">
        <v>0</v>
      </c>
      <c r="L164" s="86">
        <v>0</v>
      </c>
      <c r="M164" s="61">
        <v>0</v>
      </c>
      <c r="N164" s="61">
        <v>0</v>
      </c>
      <c r="O164" s="61">
        <v>0</v>
      </c>
      <c r="P164" s="61">
        <v>0</v>
      </c>
      <c r="Q164" s="61">
        <v>0</v>
      </c>
      <c r="R164" s="61">
        <v>0</v>
      </c>
      <c r="S164" s="61">
        <v>0</v>
      </c>
      <c r="T164" s="61">
        <v>0</v>
      </c>
      <c r="U164" s="61">
        <v>0</v>
      </c>
      <c r="V164" s="61">
        <v>0</v>
      </c>
      <c r="W164" s="61">
        <v>0</v>
      </c>
      <c r="X164" s="61">
        <v>0</v>
      </c>
      <c r="Y164" s="61">
        <v>0</v>
      </c>
      <c r="AA164" s="61">
        <v>0</v>
      </c>
      <c r="AB164" s="60">
        <v>0</v>
      </c>
      <c r="AD164" s="61">
        <v>0</v>
      </c>
      <c r="AE164" s="60">
        <v>0</v>
      </c>
    </row>
    <row r="165" spans="1:31" ht="18" customHeight="1" x14ac:dyDescent="0.2">
      <c r="A165" s="30" t="s">
        <v>125</v>
      </c>
      <c r="B165" s="30" t="s">
        <v>18</v>
      </c>
      <c r="C165" s="4">
        <v>0</v>
      </c>
      <c r="D165" s="4">
        <v>0</v>
      </c>
      <c r="F165" s="106" t="s">
        <v>126</v>
      </c>
      <c r="H165" s="61">
        <v>0</v>
      </c>
      <c r="I165" s="61">
        <v>-0.434</v>
      </c>
      <c r="J165" s="61">
        <v>-0.434</v>
      </c>
      <c r="K165" s="86">
        <v>0</v>
      </c>
      <c r="L165" s="86">
        <v>0</v>
      </c>
      <c r="M165" s="61">
        <v>0</v>
      </c>
      <c r="N165" s="61">
        <v>0</v>
      </c>
      <c r="O165" s="61">
        <v>0</v>
      </c>
      <c r="P165" s="61">
        <v>0</v>
      </c>
      <c r="Q165" s="61">
        <v>0</v>
      </c>
      <c r="R165" s="61">
        <v>0</v>
      </c>
      <c r="S165" s="61">
        <v>0</v>
      </c>
      <c r="T165" s="61">
        <v>0</v>
      </c>
      <c r="U165" s="61">
        <v>0</v>
      </c>
      <c r="V165" s="61">
        <v>0</v>
      </c>
      <c r="W165" s="61">
        <v>0</v>
      </c>
      <c r="X165" s="61">
        <v>0</v>
      </c>
      <c r="Y165" s="61">
        <v>0</v>
      </c>
      <c r="AA165" s="61">
        <v>0</v>
      </c>
      <c r="AB165" s="60">
        <v>0</v>
      </c>
      <c r="AD165" s="61">
        <v>0</v>
      </c>
      <c r="AE165" s="60">
        <v>0</v>
      </c>
    </row>
    <row r="166" spans="1:31" ht="18" hidden="1" customHeight="1" outlineLevel="1" x14ac:dyDescent="0.2">
      <c r="A166" s="30" t="s">
        <v>73</v>
      </c>
      <c r="B166" s="30" t="s">
        <v>18</v>
      </c>
      <c r="C166" s="4">
        <v>0</v>
      </c>
      <c r="D166" s="4">
        <v>0</v>
      </c>
      <c r="F166" s="38" t="s">
        <v>72</v>
      </c>
      <c r="G166" s="34"/>
      <c r="H166" s="66">
        <v>0</v>
      </c>
      <c r="I166" s="66">
        <v>0</v>
      </c>
      <c r="J166" s="66">
        <v>0</v>
      </c>
      <c r="K166" s="86">
        <v>0</v>
      </c>
      <c r="L166" s="8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34"/>
      <c r="AA166" s="66">
        <v>0</v>
      </c>
      <c r="AB166" s="60">
        <v>0</v>
      </c>
      <c r="AC166" s="34"/>
      <c r="AD166" s="66">
        <v>0</v>
      </c>
      <c r="AE166" s="60">
        <v>0</v>
      </c>
    </row>
    <row r="167" spans="1:31" ht="18" hidden="1" customHeight="1" outlineLevel="1" x14ac:dyDescent="0.2">
      <c r="A167" s="30" t="s">
        <v>129</v>
      </c>
      <c r="B167" s="30" t="s">
        <v>18</v>
      </c>
      <c r="C167" s="4">
        <v>0</v>
      </c>
      <c r="D167" s="4">
        <v>0</v>
      </c>
      <c r="F167" s="38" t="s">
        <v>190</v>
      </c>
      <c r="G167" s="34"/>
      <c r="H167" s="66">
        <v>0</v>
      </c>
      <c r="I167" s="66">
        <v>0</v>
      </c>
      <c r="J167" s="66">
        <v>0</v>
      </c>
      <c r="K167" s="86">
        <v>0</v>
      </c>
      <c r="L167" s="8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34"/>
      <c r="AA167" s="66">
        <v>0</v>
      </c>
      <c r="AB167" s="60">
        <v>0</v>
      </c>
      <c r="AC167" s="34"/>
      <c r="AD167" s="66">
        <v>0</v>
      </c>
      <c r="AE167" s="60">
        <v>0</v>
      </c>
    </row>
    <row r="168" spans="1:31" ht="18" hidden="1" customHeight="1" outlineLevel="1" x14ac:dyDescent="0.2">
      <c r="A168" s="30" t="s">
        <v>172</v>
      </c>
      <c r="B168" s="30" t="s">
        <v>18</v>
      </c>
      <c r="C168" s="4">
        <v>0</v>
      </c>
      <c r="D168" s="4">
        <v>0</v>
      </c>
      <c r="F168" s="38" t="s">
        <v>173</v>
      </c>
      <c r="G168" s="34"/>
      <c r="H168" s="66">
        <v>0</v>
      </c>
      <c r="I168" s="66">
        <v>0</v>
      </c>
      <c r="J168" s="66">
        <v>0</v>
      </c>
      <c r="K168" s="86">
        <v>0</v>
      </c>
      <c r="L168" s="86">
        <v>0</v>
      </c>
      <c r="M168" s="66">
        <v>0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34"/>
      <c r="AA168" s="66">
        <v>0</v>
      </c>
      <c r="AB168" s="60">
        <v>0</v>
      </c>
      <c r="AC168" s="34"/>
      <c r="AD168" s="66">
        <v>0</v>
      </c>
      <c r="AE168" s="60">
        <v>0</v>
      </c>
    </row>
    <row r="169" spans="1:31" ht="18" hidden="1" customHeight="1" outlineLevel="1" x14ac:dyDescent="0.2">
      <c r="A169" s="30" t="s">
        <v>88</v>
      </c>
      <c r="B169" s="30" t="s">
        <v>18</v>
      </c>
      <c r="C169" s="4">
        <v>0</v>
      </c>
      <c r="D169" s="4">
        <v>0</v>
      </c>
      <c r="F169" s="38" t="s">
        <v>93</v>
      </c>
      <c r="G169" s="34"/>
      <c r="H169" s="66">
        <v>0</v>
      </c>
      <c r="I169" s="66">
        <v>0</v>
      </c>
      <c r="J169" s="66">
        <v>0</v>
      </c>
      <c r="K169" s="86">
        <v>0</v>
      </c>
      <c r="L169" s="8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34"/>
      <c r="AA169" s="66">
        <v>0</v>
      </c>
      <c r="AB169" s="60">
        <v>0</v>
      </c>
      <c r="AC169" s="34"/>
      <c r="AD169" s="66">
        <v>0</v>
      </c>
      <c r="AE169" s="60">
        <v>0</v>
      </c>
    </row>
    <row r="170" spans="1:31" ht="18" hidden="1" customHeight="1" outlineLevel="1" x14ac:dyDescent="0.2">
      <c r="A170" s="30" t="s">
        <v>174</v>
      </c>
      <c r="B170" s="30" t="s">
        <v>18</v>
      </c>
      <c r="C170" s="4">
        <v>0</v>
      </c>
      <c r="D170" s="4">
        <v>0</v>
      </c>
      <c r="F170" s="38" t="s">
        <v>175</v>
      </c>
      <c r="G170" s="34"/>
      <c r="H170" s="66">
        <v>0</v>
      </c>
      <c r="I170" s="66">
        <v>0</v>
      </c>
      <c r="J170" s="66">
        <v>0</v>
      </c>
      <c r="K170" s="86">
        <v>0</v>
      </c>
      <c r="L170" s="8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34"/>
      <c r="AA170" s="66">
        <v>0</v>
      </c>
      <c r="AB170" s="60">
        <v>0</v>
      </c>
      <c r="AC170" s="34"/>
      <c r="AD170" s="66">
        <v>0</v>
      </c>
      <c r="AE170" s="60">
        <v>0</v>
      </c>
    </row>
    <row r="171" spans="1:31" ht="18" hidden="1" customHeight="1" outlineLevel="1" x14ac:dyDescent="0.2">
      <c r="A171" s="30" t="s">
        <v>130</v>
      </c>
      <c r="B171" s="30" t="s">
        <v>18</v>
      </c>
      <c r="C171" s="4">
        <v>0</v>
      </c>
      <c r="D171" s="4">
        <v>0</v>
      </c>
      <c r="F171" s="38" t="s">
        <v>176</v>
      </c>
      <c r="G171" s="34"/>
      <c r="H171" s="66">
        <v>0</v>
      </c>
      <c r="I171" s="66">
        <v>0</v>
      </c>
      <c r="J171" s="66">
        <v>0</v>
      </c>
      <c r="K171" s="86">
        <v>0</v>
      </c>
      <c r="L171" s="8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34"/>
      <c r="AA171" s="66">
        <v>0</v>
      </c>
      <c r="AB171" s="60">
        <v>0</v>
      </c>
      <c r="AC171" s="34"/>
      <c r="AD171" s="66">
        <v>0</v>
      </c>
      <c r="AE171" s="60">
        <v>0</v>
      </c>
    </row>
    <row r="172" spans="1:31" ht="18" hidden="1" customHeight="1" outlineLevel="1" x14ac:dyDescent="0.2">
      <c r="A172" s="30" t="s">
        <v>177</v>
      </c>
      <c r="B172" s="30" t="s">
        <v>18</v>
      </c>
      <c r="C172" s="4">
        <v>0</v>
      </c>
      <c r="D172" s="4">
        <v>0</v>
      </c>
      <c r="F172" s="38" t="s">
        <v>178</v>
      </c>
      <c r="G172" s="34"/>
      <c r="H172" s="66">
        <v>0</v>
      </c>
      <c r="I172" s="66">
        <v>0</v>
      </c>
      <c r="J172" s="66">
        <v>0</v>
      </c>
      <c r="K172" s="86">
        <v>0</v>
      </c>
      <c r="L172" s="8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34"/>
      <c r="AA172" s="66">
        <v>0</v>
      </c>
      <c r="AB172" s="60">
        <v>0</v>
      </c>
      <c r="AC172" s="34"/>
      <c r="AD172" s="66">
        <v>0</v>
      </c>
      <c r="AE172" s="60">
        <v>0</v>
      </c>
    </row>
    <row r="173" spans="1:31" ht="18" hidden="1" customHeight="1" outlineLevel="1" x14ac:dyDescent="0.2">
      <c r="A173" s="30" t="s">
        <v>179</v>
      </c>
      <c r="B173" s="30" t="s">
        <v>18</v>
      </c>
      <c r="C173" s="4">
        <v>0</v>
      </c>
      <c r="D173" s="4">
        <v>0</v>
      </c>
      <c r="F173" s="38" t="s">
        <v>180</v>
      </c>
      <c r="G173" s="34"/>
      <c r="H173" s="66">
        <v>0</v>
      </c>
      <c r="I173" s="66">
        <v>0</v>
      </c>
      <c r="J173" s="66">
        <v>0</v>
      </c>
      <c r="K173" s="86">
        <v>0</v>
      </c>
      <c r="L173" s="8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34"/>
      <c r="AA173" s="66">
        <v>0</v>
      </c>
      <c r="AB173" s="60">
        <v>0</v>
      </c>
      <c r="AC173" s="34"/>
      <c r="AD173" s="66">
        <v>0</v>
      </c>
      <c r="AE173" s="60">
        <v>0</v>
      </c>
    </row>
    <row r="174" spans="1:31" ht="18" hidden="1" customHeight="1" outlineLevel="1" x14ac:dyDescent="0.2">
      <c r="A174" s="30" t="s">
        <v>78</v>
      </c>
      <c r="B174" s="30" t="s">
        <v>18</v>
      </c>
      <c r="C174" s="4">
        <v>0</v>
      </c>
      <c r="D174" s="4">
        <v>0</v>
      </c>
      <c r="F174" s="38" t="s">
        <v>77</v>
      </c>
      <c r="G174" s="34"/>
      <c r="H174" s="66">
        <v>0</v>
      </c>
      <c r="I174" s="66">
        <v>0</v>
      </c>
      <c r="J174" s="66">
        <v>0</v>
      </c>
      <c r="K174" s="86">
        <v>0</v>
      </c>
      <c r="L174" s="8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34"/>
      <c r="AA174" s="66">
        <v>0</v>
      </c>
      <c r="AB174" s="60">
        <v>0</v>
      </c>
      <c r="AC174" s="34"/>
      <c r="AD174" s="66">
        <v>0</v>
      </c>
      <c r="AE174" s="60">
        <v>0</v>
      </c>
    </row>
    <row r="175" spans="1:31" ht="18" hidden="1" customHeight="1" outlineLevel="1" x14ac:dyDescent="0.2">
      <c r="A175" s="30" t="s">
        <v>193</v>
      </c>
      <c r="B175" s="30" t="s">
        <v>18</v>
      </c>
      <c r="C175" s="4">
        <v>0</v>
      </c>
      <c r="D175" s="4">
        <v>0</v>
      </c>
      <c r="F175" s="38" t="s">
        <v>268</v>
      </c>
      <c r="G175" s="34"/>
      <c r="H175" s="66">
        <v>0</v>
      </c>
      <c r="I175" s="66">
        <v>0</v>
      </c>
      <c r="J175" s="66">
        <v>0</v>
      </c>
      <c r="K175" s="86">
        <v>0</v>
      </c>
      <c r="L175" s="8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34"/>
      <c r="AA175" s="66">
        <v>0</v>
      </c>
      <c r="AB175" s="60">
        <v>0</v>
      </c>
      <c r="AC175" s="34"/>
      <c r="AD175" s="66">
        <v>0</v>
      </c>
      <c r="AE175" s="60">
        <v>0</v>
      </c>
    </row>
    <row r="176" spans="1:31" ht="18" hidden="1" customHeight="1" outlineLevel="1" x14ac:dyDescent="0.2">
      <c r="A176" s="30" t="s">
        <v>181</v>
      </c>
      <c r="B176" s="30" t="s">
        <v>18</v>
      </c>
      <c r="C176" s="4">
        <v>0</v>
      </c>
      <c r="D176" s="4">
        <v>0</v>
      </c>
      <c r="F176" s="38" t="s">
        <v>182</v>
      </c>
      <c r="G176" s="34"/>
      <c r="H176" s="66">
        <v>0</v>
      </c>
      <c r="I176" s="66">
        <v>0</v>
      </c>
      <c r="J176" s="66">
        <v>0</v>
      </c>
      <c r="K176" s="86">
        <v>0</v>
      </c>
      <c r="L176" s="8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34"/>
      <c r="AA176" s="66">
        <v>0</v>
      </c>
      <c r="AB176" s="60">
        <v>0</v>
      </c>
      <c r="AC176" s="34"/>
      <c r="AD176" s="66">
        <v>0</v>
      </c>
      <c r="AE176" s="60">
        <v>0</v>
      </c>
    </row>
    <row r="177" spans="1:31" ht="18" hidden="1" customHeight="1" outlineLevel="1" x14ac:dyDescent="0.2">
      <c r="A177" s="30" t="s">
        <v>90</v>
      </c>
      <c r="B177" s="30" t="s">
        <v>18</v>
      </c>
      <c r="C177" s="4">
        <v>0</v>
      </c>
      <c r="D177" s="4">
        <v>0</v>
      </c>
      <c r="F177" s="38" t="s">
        <v>95</v>
      </c>
      <c r="G177" s="34"/>
      <c r="H177" s="66">
        <v>0</v>
      </c>
      <c r="I177" s="66">
        <v>0</v>
      </c>
      <c r="J177" s="66">
        <v>0</v>
      </c>
      <c r="K177" s="86">
        <v>0</v>
      </c>
      <c r="L177" s="86">
        <v>0</v>
      </c>
      <c r="M177" s="66">
        <v>0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34"/>
      <c r="AA177" s="66">
        <v>0</v>
      </c>
      <c r="AB177" s="60">
        <v>0</v>
      </c>
      <c r="AC177" s="34"/>
      <c r="AD177" s="66">
        <v>0</v>
      </c>
      <c r="AE177" s="60">
        <v>0</v>
      </c>
    </row>
    <row r="178" spans="1:31" ht="18" hidden="1" customHeight="1" outlineLevel="1" x14ac:dyDescent="0.2">
      <c r="A178" s="30" t="s">
        <v>127</v>
      </c>
      <c r="B178" s="30" t="s">
        <v>18</v>
      </c>
      <c r="C178" s="4">
        <v>0</v>
      </c>
      <c r="D178" s="4">
        <v>0</v>
      </c>
      <c r="F178" s="38" t="s">
        <v>128</v>
      </c>
      <c r="G178" s="34"/>
      <c r="H178" s="66">
        <v>0</v>
      </c>
      <c r="I178" s="66">
        <v>0</v>
      </c>
      <c r="J178" s="66">
        <v>0</v>
      </c>
      <c r="K178" s="86">
        <v>0</v>
      </c>
      <c r="L178" s="86">
        <v>0</v>
      </c>
      <c r="M178" s="66">
        <v>0</v>
      </c>
      <c r="N178" s="66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34"/>
      <c r="AA178" s="66">
        <v>0</v>
      </c>
      <c r="AB178" s="60">
        <v>0</v>
      </c>
      <c r="AC178" s="34"/>
      <c r="AD178" s="66">
        <v>0</v>
      </c>
      <c r="AE178" s="60">
        <v>0</v>
      </c>
    </row>
    <row r="179" spans="1:31" s="209" customFormat="1" ht="18" hidden="1" customHeight="1" outlineLevel="1" x14ac:dyDescent="0.2">
      <c r="A179" s="231" t="s">
        <v>261</v>
      </c>
      <c r="B179" s="210" t="s">
        <v>18</v>
      </c>
      <c r="C179" s="208">
        <v>0</v>
      </c>
      <c r="D179" s="208">
        <v>0</v>
      </c>
      <c r="F179" s="222" t="s">
        <v>262</v>
      </c>
      <c r="G179" s="211"/>
      <c r="H179" s="215">
        <v>0</v>
      </c>
      <c r="I179" s="215">
        <v>0</v>
      </c>
      <c r="J179" s="215">
        <v>0</v>
      </c>
      <c r="K179" s="216">
        <v>0</v>
      </c>
      <c r="L179" s="216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  <c r="R179" s="215">
        <v>0</v>
      </c>
      <c r="S179" s="215">
        <v>0</v>
      </c>
      <c r="T179" s="215">
        <v>0</v>
      </c>
      <c r="U179" s="215">
        <v>0</v>
      </c>
      <c r="V179" s="215">
        <v>0</v>
      </c>
      <c r="W179" s="215">
        <v>0</v>
      </c>
      <c r="X179" s="215">
        <v>0</v>
      </c>
      <c r="Y179" s="215">
        <v>0</v>
      </c>
      <c r="Z179" s="211"/>
      <c r="AA179" s="215">
        <v>0</v>
      </c>
      <c r="AB179" s="214">
        <v>0</v>
      </c>
      <c r="AC179" s="211"/>
      <c r="AD179" s="215">
        <v>0</v>
      </c>
      <c r="AE179" s="214">
        <v>0</v>
      </c>
    </row>
    <row r="180" spans="1:31" ht="18" hidden="1" customHeight="1" outlineLevel="1" x14ac:dyDescent="0.2">
      <c r="A180" s="30" t="s">
        <v>199</v>
      </c>
      <c r="B180" s="30" t="s">
        <v>18</v>
      </c>
      <c r="C180" s="4">
        <v>0</v>
      </c>
      <c r="D180" s="4">
        <v>0</v>
      </c>
      <c r="F180" s="38" t="s">
        <v>184</v>
      </c>
      <c r="G180" s="34"/>
      <c r="H180" s="66">
        <v>0</v>
      </c>
      <c r="I180" s="66">
        <v>0</v>
      </c>
      <c r="J180" s="66">
        <v>0</v>
      </c>
      <c r="K180" s="86">
        <v>0</v>
      </c>
      <c r="L180" s="8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34"/>
      <c r="AA180" s="66">
        <v>0</v>
      </c>
      <c r="AB180" s="60">
        <v>0</v>
      </c>
      <c r="AC180" s="34"/>
      <c r="AD180" s="66">
        <v>0</v>
      </c>
      <c r="AE180" s="60">
        <v>0</v>
      </c>
    </row>
    <row r="181" spans="1:31" ht="18" hidden="1" customHeight="1" outlineLevel="1" x14ac:dyDescent="0.2">
      <c r="A181" s="30" t="s">
        <v>263</v>
      </c>
      <c r="B181" s="30" t="s">
        <v>18</v>
      </c>
      <c r="C181" s="4">
        <v>0</v>
      </c>
      <c r="D181" s="4">
        <v>0</v>
      </c>
      <c r="F181" s="38" t="s">
        <v>273</v>
      </c>
      <c r="G181" s="34"/>
      <c r="H181" s="66">
        <v>0</v>
      </c>
      <c r="I181" s="66">
        <v>0</v>
      </c>
      <c r="J181" s="66">
        <v>0</v>
      </c>
      <c r="K181" s="86">
        <v>0</v>
      </c>
      <c r="L181" s="8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34"/>
      <c r="AA181" s="66">
        <v>0</v>
      </c>
      <c r="AB181" s="60">
        <v>0</v>
      </c>
      <c r="AC181" s="34"/>
      <c r="AD181" s="66">
        <v>0</v>
      </c>
      <c r="AE181" s="60">
        <v>0</v>
      </c>
    </row>
    <row r="182" spans="1:31" ht="18" hidden="1" customHeight="1" outlineLevel="1" x14ac:dyDescent="0.2">
      <c r="A182" s="30" t="s">
        <v>195</v>
      </c>
      <c r="B182" s="30" t="s">
        <v>18</v>
      </c>
      <c r="C182" s="4">
        <v>0</v>
      </c>
      <c r="D182" s="4">
        <v>0</v>
      </c>
      <c r="F182" s="38" t="s">
        <v>196</v>
      </c>
      <c r="G182" s="34"/>
      <c r="H182" s="66">
        <v>0</v>
      </c>
      <c r="I182" s="66">
        <v>0</v>
      </c>
      <c r="J182" s="66">
        <v>0</v>
      </c>
      <c r="K182" s="86">
        <v>0</v>
      </c>
      <c r="L182" s="8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34"/>
      <c r="AA182" s="66">
        <v>0</v>
      </c>
      <c r="AB182" s="60">
        <v>0</v>
      </c>
      <c r="AC182" s="34"/>
      <c r="AD182" s="66">
        <v>0</v>
      </c>
      <c r="AE182" s="60">
        <v>0</v>
      </c>
    </row>
    <row r="183" spans="1:31" ht="18" hidden="1" customHeight="1" outlineLevel="1" x14ac:dyDescent="0.2">
      <c r="A183" s="30" t="s">
        <v>197</v>
      </c>
      <c r="B183" s="30" t="s">
        <v>18</v>
      </c>
      <c r="C183" s="4">
        <v>0</v>
      </c>
      <c r="D183" s="4">
        <v>0</v>
      </c>
      <c r="F183" s="38" t="s">
        <v>267</v>
      </c>
      <c r="G183" s="34"/>
      <c r="H183" s="66">
        <v>0</v>
      </c>
      <c r="I183" s="66">
        <v>0</v>
      </c>
      <c r="J183" s="66">
        <v>0</v>
      </c>
      <c r="K183" s="86">
        <v>0</v>
      </c>
      <c r="L183" s="8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34"/>
      <c r="AA183" s="66">
        <v>0</v>
      </c>
      <c r="AB183" s="60">
        <v>0</v>
      </c>
      <c r="AC183" s="34"/>
      <c r="AD183" s="66">
        <v>0</v>
      </c>
      <c r="AE183" s="60">
        <v>0</v>
      </c>
    </row>
    <row r="184" spans="1:31" s="237" customFormat="1" ht="18" hidden="1" customHeight="1" outlineLevel="1" x14ac:dyDescent="0.2">
      <c r="A184" s="254" t="s">
        <v>445</v>
      </c>
      <c r="B184" s="238" t="s">
        <v>18</v>
      </c>
      <c r="C184" s="236">
        <v>-1</v>
      </c>
      <c r="D184" s="236">
        <v>-1</v>
      </c>
      <c r="F184" s="247" t="s">
        <v>444</v>
      </c>
      <c r="G184" s="239"/>
      <c r="H184" s="241">
        <v>0</v>
      </c>
      <c r="I184" s="241">
        <v>0</v>
      </c>
      <c r="J184" s="241">
        <v>0</v>
      </c>
      <c r="K184" s="242">
        <v>0</v>
      </c>
      <c r="L184" s="242">
        <v>0</v>
      </c>
      <c r="M184" s="241">
        <v>0</v>
      </c>
      <c r="N184" s="241">
        <v>0</v>
      </c>
      <c r="O184" s="241">
        <v>0</v>
      </c>
      <c r="P184" s="241">
        <v>0</v>
      </c>
      <c r="Q184" s="241">
        <v>0</v>
      </c>
      <c r="R184" s="241">
        <v>0</v>
      </c>
      <c r="S184" s="241">
        <v>0</v>
      </c>
      <c r="T184" s="241">
        <v>-0.16</v>
      </c>
      <c r="U184" s="241">
        <v>0</v>
      </c>
      <c r="V184" s="241">
        <v>0</v>
      </c>
      <c r="W184" s="241">
        <v>0</v>
      </c>
      <c r="X184" s="241">
        <v>0</v>
      </c>
      <c r="Y184" s="241">
        <v>-0.16</v>
      </c>
      <c r="Z184" s="239"/>
      <c r="AA184" s="241">
        <v>0</v>
      </c>
      <c r="AB184" s="240">
        <v>-0.16</v>
      </c>
      <c r="AC184" s="239"/>
      <c r="AD184" s="241">
        <v>0</v>
      </c>
      <c r="AE184" s="240">
        <v>-0.16</v>
      </c>
    </row>
    <row r="185" spans="1:31" ht="18" hidden="1" customHeight="1" outlineLevel="1" x14ac:dyDescent="0.2">
      <c r="A185" s="30" t="s">
        <v>257</v>
      </c>
      <c r="B185" s="30" t="s">
        <v>18</v>
      </c>
      <c r="C185" s="4">
        <v>0</v>
      </c>
      <c r="D185" s="4">
        <v>0</v>
      </c>
      <c r="F185" s="104" t="s">
        <v>260</v>
      </c>
      <c r="G185" s="36"/>
      <c r="H185" s="65">
        <v>0</v>
      </c>
      <c r="I185" s="65">
        <v>0</v>
      </c>
      <c r="J185" s="65">
        <v>0</v>
      </c>
      <c r="K185" s="90">
        <v>0</v>
      </c>
      <c r="L185" s="90">
        <v>0</v>
      </c>
      <c r="M185" s="65">
        <v>0</v>
      </c>
      <c r="N185" s="65">
        <v>0</v>
      </c>
      <c r="O185" s="65">
        <v>0</v>
      </c>
      <c r="P185" s="65">
        <v>0</v>
      </c>
      <c r="Q185" s="65">
        <v>0</v>
      </c>
      <c r="R185" s="65">
        <v>0</v>
      </c>
      <c r="S185" s="65">
        <v>0</v>
      </c>
      <c r="T185" s="65">
        <v>0</v>
      </c>
      <c r="U185" s="65">
        <v>0</v>
      </c>
      <c r="V185" s="65">
        <v>0</v>
      </c>
      <c r="W185" s="65">
        <v>0</v>
      </c>
      <c r="X185" s="65">
        <v>0</v>
      </c>
      <c r="Y185" s="65">
        <v>0</v>
      </c>
      <c r="Z185" s="36"/>
      <c r="AA185" s="65">
        <v>0</v>
      </c>
      <c r="AB185" s="60">
        <v>0</v>
      </c>
      <c r="AC185" s="36"/>
      <c r="AD185" s="65">
        <v>0</v>
      </c>
      <c r="AE185" s="60">
        <v>0</v>
      </c>
    </row>
    <row r="186" spans="1:31" ht="18" hidden="1" customHeight="1" outlineLevel="1" x14ac:dyDescent="0.2">
      <c r="A186" s="30" t="s">
        <v>200</v>
      </c>
      <c r="B186" s="30" t="s">
        <v>18</v>
      </c>
      <c r="C186" s="4">
        <v>0</v>
      </c>
      <c r="D186" s="4">
        <v>0</v>
      </c>
      <c r="F186" s="104" t="s">
        <v>183</v>
      </c>
      <c r="G186" s="36"/>
      <c r="H186" s="65">
        <v>0</v>
      </c>
      <c r="I186" s="65">
        <v>0</v>
      </c>
      <c r="J186" s="65">
        <v>0</v>
      </c>
      <c r="K186" s="90">
        <v>0</v>
      </c>
      <c r="L186" s="90">
        <v>0</v>
      </c>
      <c r="M186" s="65">
        <v>0</v>
      </c>
      <c r="N186" s="65">
        <v>0</v>
      </c>
      <c r="O186" s="65">
        <v>0</v>
      </c>
      <c r="P186" s="65">
        <v>0</v>
      </c>
      <c r="Q186" s="65">
        <v>0</v>
      </c>
      <c r="R186" s="65">
        <v>0</v>
      </c>
      <c r="S186" s="65">
        <v>0</v>
      </c>
      <c r="T186" s="65">
        <v>0</v>
      </c>
      <c r="U186" s="65">
        <v>0</v>
      </c>
      <c r="V186" s="65">
        <v>0</v>
      </c>
      <c r="W186" s="65">
        <v>0</v>
      </c>
      <c r="X186" s="65">
        <v>0</v>
      </c>
      <c r="Y186" s="65">
        <v>0</v>
      </c>
      <c r="Z186" s="36"/>
      <c r="AA186" s="65">
        <v>0</v>
      </c>
      <c r="AB186" s="60">
        <v>0</v>
      </c>
      <c r="AC186" s="36"/>
      <c r="AD186" s="65">
        <v>0</v>
      </c>
      <c r="AE186" s="60">
        <v>0</v>
      </c>
    </row>
    <row r="187" spans="1:31" ht="18" hidden="1" customHeight="1" outlineLevel="1" x14ac:dyDescent="0.2">
      <c r="A187" s="30" t="s">
        <v>256</v>
      </c>
      <c r="B187" s="30" t="s">
        <v>18</v>
      </c>
      <c r="C187" s="4">
        <v>0</v>
      </c>
      <c r="D187" s="4">
        <v>0</v>
      </c>
      <c r="F187" s="104" t="s">
        <v>259</v>
      </c>
      <c r="G187" s="36"/>
      <c r="H187" s="65">
        <v>0</v>
      </c>
      <c r="I187" s="65">
        <v>0</v>
      </c>
      <c r="J187" s="65">
        <v>0</v>
      </c>
      <c r="K187" s="90">
        <v>0</v>
      </c>
      <c r="L187" s="90">
        <v>0</v>
      </c>
      <c r="M187" s="65">
        <v>0</v>
      </c>
      <c r="N187" s="65">
        <v>0</v>
      </c>
      <c r="O187" s="65">
        <v>0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36"/>
      <c r="AA187" s="65">
        <v>0</v>
      </c>
      <c r="AB187" s="60">
        <v>0</v>
      </c>
      <c r="AC187" s="36"/>
      <c r="AD187" s="65">
        <v>0</v>
      </c>
      <c r="AE187" s="60">
        <v>0</v>
      </c>
    </row>
    <row r="188" spans="1:31" ht="18" hidden="1" customHeight="1" outlineLevel="1" x14ac:dyDescent="0.2">
      <c r="A188" s="30" t="s">
        <v>185</v>
      </c>
      <c r="B188" s="30" t="s">
        <v>18</v>
      </c>
      <c r="C188" s="4">
        <v>0</v>
      </c>
      <c r="D188" s="4">
        <v>0</v>
      </c>
      <c r="F188" s="38" t="s">
        <v>186</v>
      </c>
      <c r="G188" s="34"/>
      <c r="H188" s="66">
        <v>0</v>
      </c>
      <c r="I188" s="66">
        <v>0</v>
      </c>
      <c r="J188" s="66">
        <v>0</v>
      </c>
      <c r="K188" s="86">
        <v>0</v>
      </c>
      <c r="L188" s="86">
        <v>0</v>
      </c>
      <c r="M188" s="66">
        <v>0</v>
      </c>
      <c r="N188" s="66">
        <v>0</v>
      </c>
      <c r="O188" s="66">
        <v>0</v>
      </c>
      <c r="P188" s="66">
        <v>0</v>
      </c>
      <c r="Q188" s="66">
        <v>0</v>
      </c>
      <c r="R188" s="66">
        <v>0</v>
      </c>
      <c r="S188" s="66">
        <v>0</v>
      </c>
      <c r="T188" s="66">
        <v>0</v>
      </c>
      <c r="U188" s="66">
        <v>0</v>
      </c>
      <c r="V188" s="66">
        <v>0</v>
      </c>
      <c r="W188" s="66">
        <v>0</v>
      </c>
      <c r="X188" s="66">
        <v>0</v>
      </c>
      <c r="Y188" s="66">
        <v>0</v>
      </c>
      <c r="Z188" s="34"/>
      <c r="AA188" s="66">
        <v>0</v>
      </c>
      <c r="AB188" s="60">
        <v>0</v>
      </c>
      <c r="AC188" s="34"/>
      <c r="AD188" s="66">
        <v>0</v>
      </c>
      <c r="AE188" s="60">
        <v>0</v>
      </c>
    </row>
    <row r="189" spans="1:31" ht="18" customHeight="1" collapsed="1" x14ac:dyDescent="0.2">
      <c r="A189" s="35"/>
      <c r="B189" s="35"/>
      <c r="C189" s="4">
        <v>-1</v>
      </c>
      <c r="D189" s="4">
        <v>-1</v>
      </c>
      <c r="F189" s="106" t="s">
        <v>188</v>
      </c>
      <c r="H189" s="61">
        <v>0</v>
      </c>
      <c r="I189" s="61">
        <v>0</v>
      </c>
      <c r="J189" s="61">
        <v>0</v>
      </c>
      <c r="K189" s="86">
        <v>0</v>
      </c>
      <c r="L189" s="86">
        <v>0</v>
      </c>
      <c r="M189" s="61">
        <v>0</v>
      </c>
      <c r="N189" s="61">
        <v>0</v>
      </c>
      <c r="O189" s="61">
        <v>0</v>
      </c>
      <c r="P189" s="61">
        <v>0</v>
      </c>
      <c r="Q189" s="61">
        <v>0</v>
      </c>
      <c r="R189" s="61">
        <v>0</v>
      </c>
      <c r="S189" s="61">
        <v>0</v>
      </c>
      <c r="T189" s="61">
        <v>-0.16</v>
      </c>
      <c r="U189" s="61">
        <v>0</v>
      </c>
      <c r="V189" s="61">
        <v>0</v>
      </c>
      <c r="W189" s="61">
        <v>0</v>
      </c>
      <c r="X189" s="61">
        <v>0</v>
      </c>
      <c r="Y189" s="61">
        <v>-0.16</v>
      </c>
      <c r="AA189" s="61">
        <v>0</v>
      </c>
      <c r="AB189" s="60">
        <v>-0.16</v>
      </c>
      <c r="AD189" s="61">
        <v>0</v>
      </c>
      <c r="AE189" s="60">
        <v>-0.16</v>
      </c>
    </row>
    <row r="190" spans="1:31" ht="18" customHeight="1" x14ac:dyDescent="0.2">
      <c r="A190" s="35"/>
      <c r="B190" s="35"/>
      <c r="C190" s="4">
        <v>-0.99071207430340558</v>
      </c>
      <c r="D190" s="4">
        <v>-0.99071207430340558</v>
      </c>
      <c r="F190" s="95" t="s">
        <v>87</v>
      </c>
      <c r="H190" s="64">
        <v>-1.6339999999999999</v>
      </c>
      <c r="I190" s="64">
        <v>-11.979999999999999</v>
      </c>
      <c r="J190" s="64">
        <v>-11.979999999999999</v>
      </c>
      <c r="K190" s="89">
        <v>0</v>
      </c>
      <c r="L190" s="89">
        <v>0</v>
      </c>
      <c r="M190" s="64">
        <v>-1.9E-2</v>
      </c>
      <c r="N190" s="64">
        <v>-0.02</v>
      </c>
      <c r="O190" s="64">
        <v>-1.9000000000000003E-2</v>
      </c>
      <c r="P190" s="64">
        <v>-1.9999999999999997E-2</v>
      </c>
      <c r="Q190" s="64">
        <v>-1.8000000000000002E-2</v>
      </c>
      <c r="R190" s="64">
        <v>-1.9000000000000003E-2</v>
      </c>
      <c r="S190" s="64">
        <v>-2.5999999999999981E-2</v>
      </c>
      <c r="T190" s="64">
        <v>-0.17300000000000001</v>
      </c>
      <c r="U190" s="64">
        <v>-1.3000000000000012E-2</v>
      </c>
      <c r="V190" s="64">
        <v>-1.2999999999999984E-2</v>
      </c>
      <c r="W190" s="64">
        <v>-1.4000000000000012E-2</v>
      </c>
      <c r="X190" s="64">
        <v>3.1E-2</v>
      </c>
      <c r="Y190" s="64">
        <v>-0.32300000000000001</v>
      </c>
      <c r="AA190" s="64">
        <v>0</v>
      </c>
      <c r="AB190" s="60">
        <v>-0.32</v>
      </c>
      <c r="AD190" s="64">
        <v>0</v>
      </c>
      <c r="AE190" s="60">
        <v>-0.32</v>
      </c>
    </row>
    <row r="191" spans="1:31" ht="12.95" customHeight="1" x14ac:dyDescent="0.2">
      <c r="A191" s="35"/>
      <c r="B191" s="35"/>
      <c r="C191" s="4"/>
      <c r="D191" s="4"/>
      <c r="F191" s="39" t="s">
        <v>223</v>
      </c>
      <c r="H191" s="56" t="e">
        <v>#DIV/0!</v>
      </c>
      <c r="I191" s="56">
        <v>-5.6482791136256481</v>
      </c>
      <c r="J191" s="56">
        <v>-5.6482791136256481</v>
      </c>
      <c r="K191" s="109" t="e">
        <v>#DIV/0!</v>
      </c>
      <c r="L191" s="109" t="e">
        <v>#DIV/0!</v>
      </c>
      <c r="M191" s="56" t="e">
        <v>#DIV/0!</v>
      </c>
      <c r="N191" s="56" t="e">
        <v>#DIV/0!</v>
      </c>
      <c r="O191" s="56" t="e">
        <v>#DIV/0!</v>
      </c>
      <c r="P191" s="56" t="e">
        <v>#DIV/0!</v>
      </c>
      <c r="Q191" s="56" t="e">
        <v>#DIV/0!</v>
      </c>
      <c r="R191" s="56" t="e">
        <v>#DIV/0!</v>
      </c>
      <c r="S191" s="56" t="e">
        <v>#DIV/0!</v>
      </c>
      <c r="T191" s="56" t="e">
        <v>#DIV/0!</v>
      </c>
      <c r="U191" s="56" t="e">
        <v>#DIV/0!</v>
      </c>
      <c r="V191" s="56" t="e">
        <v>#DIV/0!</v>
      </c>
      <c r="W191" s="56" t="e">
        <v>#DIV/0!</v>
      </c>
      <c r="X191" s="56" t="e">
        <v>#DIV/0!</v>
      </c>
      <c r="Y191" s="56" t="e">
        <v>#DIV/0!</v>
      </c>
      <c r="AA191" s="56" t="e">
        <v>#DIV/0!</v>
      </c>
      <c r="AB191" s="57"/>
      <c r="AD191" s="56" t="e">
        <v>#DIV/0!</v>
      </c>
      <c r="AE191" s="57"/>
    </row>
    <row r="192" spans="1:31" ht="6.95" customHeight="1" x14ac:dyDescent="0.2">
      <c r="C192" s="4"/>
      <c r="D192" s="4"/>
      <c r="F192" s="96"/>
      <c r="H192" s="16"/>
      <c r="I192" s="16"/>
      <c r="J192" s="16"/>
      <c r="K192" s="85"/>
      <c r="L192" s="85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AA192" s="16"/>
      <c r="AB192" s="20"/>
      <c r="AD192" s="16"/>
      <c r="AE192" s="20"/>
    </row>
    <row r="193" spans="1:31" s="40" customFormat="1" ht="18" customHeight="1" x14ac:dyDescent="0.2">
      <c r="A193" s="35"/>
      <c r="B193" s="35"/>
      <c r="C193" s="4">
        <v>0.99964965549457219</v>
      </c>
      <c r="D193" s="4">
        <v>0.99964965549457219</v>
      </c>
      <c r="E193" s="8"/>
      <c r="F193" s="100" t="s">
        <v>277</v>
      </c>
      <c r="G193" s="8"/>
      <c r="H193" s="62">
        <v>268.48500000000001</v>
      </c>
      <c r="I193" s="62">
        <v>-25.265999999999998</v>
      </c>
      <c r="J193" s="62">
        <v>-25.265999999999998</v>
      </c>
      <c r="K193" s="108">
        <v>0</v>
      </c>
      <c r="L193" s="108">
        <v>0</v>
      </c>
      <c r="M193" s="62">
        <v>-1.9E-2</v>
      </c>
      <c r="N193" s="62">
        <v>-0.02</v>
      </c>
      <c r="O193" s="62">
        <v>5.7649999999999997</v>
      </c>
      <c r="P193" s="62">
        <v>-1.9999999999999997E-2</v>
      </c>
      <c r="Q193" s="62">
        <v>-1.8000000000000002E-2</v>
      </c>
      <c r="R193" s="62">
        <v>-1.9000000000000003E-2</v>
      </c>
      <c r="S193" s="62">
        <v>-5.599999999999998E-2</v>
      </c>
      <c r="T193" s="62">
        <v>-0.22400000000000003</v>
      </c>
      <c r="U193" s="62">
        <v>0.35699999999999998</v>
      </c>
      <c r="V193" s="62">
        <v>2.4839999999999902</v>
      </c>
      <c r="W193" s="62">
        <v>0.30199999999998967</v>
      </c>
      <c r="X193" s="62">
        <v>3.1E-2</v>
      </c>
      <c r="Y193" s="62">
        <v>8.5629999999999793</v>
      </c>
      <c r="Z193" s="8"/>
      <c r="AA193" s="62">
        <v>0</v>
      </c>
      <c r="AB193" s="60">
        <v>8.56</v>
      </c>
      <c r="AC193" s="8"/>
      <c r="AD193" s="62">
        <v>0</v>
      </c>
      <c r="AE193" s="60">
        <v>8.56</v>
      </c>
    </row>
    <row r="194" spans="1:31" ht="12.95" customHeight="1" x14ac:dyDescent="0.2">
      <c r="A194" s="35"/>
      <c r="B194" s="35"/>
      <c r="C194" s="4"/>
      <c r="D194" s="4"/>
      <c r="F194" s="39" t="s">
        <v>223</v>
      </c>
      <c r="H194" s="56" t="e">
        <v>#DIV/0!</v>
      </c>
      <c r="I194" s="56">
        <v>-11.912305516265912</v>
      </c>
      <c r="J194" s="56">
        <v>-11.912305516265912</v>
      </c>
      <c r="K194" s="109" t="e">
        <v>#DIV/0!</v>
      </c>
      <c r="L194" s="109" t="e">
        <v>#DIV/0!</v>
      </c>
      <c r="M194" s="56" t="e">
        <v>#DIV/0!</v>
      </c>
      <c r="N194" s="56" t="e">
        <v>#DIV/0!</v>
      </c>
      <c r="O194" s="56" t="e">
        <v>#DIV/0!</v>
      </c>
      <c r="P194" s="56" t="e">
        <v>#DIV/0!</v>
      </c>
      <c r="Q194" s="56" t="e">
        <v>#DIV/0!</v>
      </c>
      <c r="R194" s="56" t="e">
        <v>#DIV/0!</v>
      </c>
      <c r="S194" s="56" t="e">
        <v>#DIV/0!</v>
      </c>
      <c r="T194" s="56" t="e">
        <v>#DIV/0!</v>
      </c>
      <c r="U194" s="56" t="e">
        <v>#DIV/0!</v>
      </c>
      <c r="V194" s="56" t="e">
        <v>#DIV/0!</v>
      </c>
      <c r="W194" s="56" t="e">
        <v>#DIV/0!</v>
      </c>
      <c r="X194" s="56" t="e">
        <v>#DIV/0!</v>
      </c>
      <c r="Y194" s="56" t="e">
        <v>#DIV/0!</v>
      </c>
      <c r="AA194" s="56" t="e">
        <v>#DIV/0!</v>
      </c>
      <c r="AB194" s="57"/>
      <c r="AD194" s="56" t="e">
        <v>#DIV/0!</v>
      </c>
      <c r="AE194" s="57"/>
    </row>
    <row r="195" spans="1:31" ht="6.95" customHeight="1" x14ac:dyDescent="0.2">
      <c r="C195" s="4"/>
      <c r="D195" s="4"/>
      <c r="F195" s="96"/>
      <c r="H195" s="16"/>
      <c r="I195" s="16"/>
      <c r="J195" s="16"/>
      <c r="K195" s="85"/>
      <c r="L195" s="85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AA195" s="16"/>
      <c r="AB195" s="20"/>
      <c r="AD195" s="16"/>
      <c r="AE195" s="20"/>
    </row>
    <row r="196" spans="1:31" ht="18" customHeight="1" x14ac:dyDescent="0.2">
      <c r="A196" s="35"/>
      <c r="B196" s="35"/>
      <c r="C196" s="4">
        <v>0.99964965549457219</v>
      </c>
      <c r="D196" s="4">
        <v>0.99964965549457219</v>
      </c>
      <c r="F196" s="101" t="s">
        <v>278</v>
      </c>
      <c r="H196" s="77">
        <v>268.48500000000001</v>
      </c>
      <c r="I196" s="77">
        <v>-43.461999999999996</v>
      </c>
      <c r="J196" s="77">
        <v>-43.461999999999996</v>
      </c>
      <c r="K196" s="114">
        <v>0</v>
      </c>
      <c r="L196" s="114">
        <v>0</v>
      </c>
      <c r="M196" s="77">
        <v>-1.9E-2</v>
      </c>
      <c r="N196" s="77">
        <v>-0.02</v>
      </c>
      <c r="O196" s="77">
        <v>5.7649999999999997</v>
      </c>
      <c r="P196" s="77">
        <v>-1.9999999999999997E-2</v>
      </c>
      <c r="Q196" s="77">
        <v>-1.8000000000000002E-2</v>
      </c>
      <c r="R196" s="77">
        <v>-1.9000000000000003E-2</v>
      </c>
      <c r="S196" s="77">
        <v>-5.599999999999998E-2</v>
      </c>
      <c r="T196" s="77">
        <v>-0.22400000000000003</v>
      </c>
      <c r="U196" s="77">
        <v>0.35699999999999998</v>
      </c>
      <c r="V196" s="77">
        <v>2.4839999999999902</v>
      </c>
      <c r="W196" s="77">
        <v>0.30199999999998967</v>
      </c>
      <c r="X196" s="77">
        <v>3.1E-2</v>
      </c>
      <c r="Y196" s="77">
        <v>8.5629999999999793</v>
      </c>
      <c r="AA196" s="77">
        <v>0</v>
      </c>
      <c r="AB196" s="60">
        <v>8.56</v>
      </c>
      <c r="AD196" s="77">
        <v>0</v>
      </c>
      <c r="AE196" s="60">
        <v>8.56</v>
      </c>
    </row>
    <row r="197" spans="1:31" ht="12.95" customHeight="1" x14ac:dyDescent="0.2">
      <c r="A197" s="35"/>
      <c r="B197" s="35"/>
      <c r="C197" s="4"/>
      <c r="D197" s="4"/>
      <c r="F197" s="39" t="s">
        <v>223</v>
      </c>
      <c r="H197" s="56" t="e">
        <v>#DIV/0!</v>
      </c>
      <c r="I197" s="56">
        <v>20.491277699198491</v>
      </c>
      <c r="J197" s="56">
        <v>20.491277699198491</v>
      </c>
      <c r="K197" s="109" t="e">
        <v>#DIV/0!</v>
      </c>
      <c r="L197" s="109" t="e">
        <v>#DIV/0!</v>
      </c>
      <c r="M197" s="56" t="e">
        <v>#DIV/0!</v>
      </c>
      <c r="N197" s="56" t="e">
        <v>#DIV/0!</v>
      </c>
      <c r="O197" s="56" t="e">
        <v>#DIV/0!</v>
      </c>
      <c r="P197" s="56" t="e">
        <v>#DIV/0!</v>
      </c>
      <c r="Q197" s="56" t="e">
        <v>#DIV/0!</v>
      </c>
      <c r="R197" s="56" t="e">
        <v>#DIV/0!</v>
      </c>
      <c r="S197" s="56" t="e">
        <v>#DIV/0!</v>
      </c>
      <c r="T197" s="56" t="e">
        <v>#DIV/0!</v>
      </c>
      <c r="U197" s="56" t="e">
        <v>#DIV/0!</v>
      </c>
      <c r="V197" s="56" t="e">
        <v>#DIV/0!</v>
      </c>
      <c r="W197" s="56" t="e">
        <v>#DIV/0!</v>
      </c>
      <c r="X197" s="56" t="e">
        <v>#DIV/0!</v>
      </c>
      <c r="Y197" s="56" t="e">
        <v>#DIV/0!</v>
      </c>
      <c r="AA197" s="56" t="e">
        <v>#DIV/0!</v>
      </c>
      <c r="AB197" s="57"/>
      <c r="AD197" s="56" t="e">
        <v>#DIV/0!</v>
      </c>
      <c r="AE197" s="57"/>
    </row>
    <row r="198" spans="1:31" ht="6.95" customHeight="1" x14ac:dyDescent="0.2">
      <c r="C198" s="4"/>
      <c r="D198" s="4"/>
      <c r="F198" s="96"/>
      <c r="H198" s="16"/>
      <c r="I198" s="16"/>
      <c r="J198" s="16"/>
      <c r="K198" s="85"/>
      <c r="L198" s="85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AA198" s="16"/>
      <c r="AB198" s="20"/>
      <c r="AD198" s="16"/>
      <c r="AE198" s="20"/>
    </row>
    <row r="199" spans="1:31" ht="18" hidden="1" customHeight="1" outlineLevel="1" x14ac:dyDescent="0.2">
      <c r="A199" s="30" t="s">
        <v>36</v>
      </c>
      <c r="B199" s="30" t="s">
        <v>243</v>
      </c>
      <c r="C199" s="4"/>
      <c r="D199" s="4"/>
      <c r="F199" s="51" t="s">
        <v>246</v>
      </c>
      <c r="G199" s="34"/>
      <c r="H199" s="72">
        <v>0</v>
      </c>
      <c r="I199" s="72">
        <v>0</v>
      </c>
      <c r="J199" s="72">
        <v>0</v>
      </c>
      <c r="K199" s="111">
        <v>0</v>
      </c>
      <c r="L199" s="111">
        <v>0</v>
      </c>
      <c r="M199" s="72">
        <v>0</v>
      </c>
      <c r="N199" s="72">
        <v>0</v>
      </c>
      <c r="O199" s="72">
        <v>0</v>
      </c>
      <c r="P199" s="72">
        <v>0</v>
      </c>
      <c r="Q199" s="72">
        <v>0</v>
      </c>
      <c r="R199" s="72">
        <v>0</v>
      </c>
      <c r="S199" s="72">
        <v>0</v>
      </c>
      <c r="T199" s="72">
        <v>0</v>
      </c>
      <c r="U199" s="72">
        <v>0</v>
      </c>
      <c r="V199" s="72">
        <v>0</v>
      </c>
      <c r="W199" s="72">
        <v>0</v>
      </c>
      <c r="X199" s="72">
        <v>0</v>
      </c>
      <c r="Y199" s="72">
        <v>0</v>
      </c>
      <c r="Z199" s="34"/>
      <c r="AA199" s="72">
        <v>0</v>
      </c>
      <c r="AB199" s="73">
        <v>0</v>
      </c>
      <c r="AC199" s="34"/>
      <c r="AD199" s="72">
        <v>0</v>
      </c>
      <c r="AE199" s="73">
        <v>0</v>
      </c>
    </row>
    <row r="200" spans="1:31" ht="18" hidden="1" customHeight="1" outlineLevel="1" x14ac:dyDescent="0.2">
      <c r="A200" s="30" t="s">
        <v>36</v>
      </c>
      <c r="B200" s="30" t="s">
        <v>244</v>
      </c>
      <c r="C200" s="4"/>
      <c r="D200" s="4"/>
      <c r="F200" s="51" t="s">
        <v>247</v>
      </c>
      <c r="G200" s="34"/>
      <c r="H200" s="72">
        <v>0</v>
      </c>
      <c r="I200" s="72">
        <v>0</v>
      </c>
      <c r="J200" s="72">
        <v>0</v>
      </c>
      <c r="K200" s="111">
        <v>0</v>
      </c>
      <c r="L200" s="111">
        <v>0</v>
      </c>
      <c r="M200" s="72">
        <v>0</v>
      </c>
      <c r="N200" s="72">
        <v>0</v>
      </c>
      <c r="O200" s="72">
        <v>0</v>
      </c>
      <c r="P200" s="72">
        <v>0</v>
      </c>
      <c r="Q200" s="72">
        <v>0</v>
      </c>
      <c r="R200" s="72">
        <v>0</v>
      </c>
      <c r="S200" s="72">
        <v>0</v>
      </c>
      <c r="T200" s="72">
        <v>0</v>
      </c>
      <c r="U200" s="72">
        <v>0</v>
      </c>
      <c r="V200" s="72">
        <v>0</v>
      </c>
      <c r="W200" s="72">
        <v>0</v>
      </c>
      <c r="X200" s="72">
        <v>0</v>
      </c>
      <c r="Y200" s="72">
        <v>0</v>
      </c>
      <c r="Z200" s="34"/>
      <c r="AA200" s="72">
        <v>0</v>
      </c>
      <c r="AB200" s="73">
        <v>0</v>
      </c>
      <c r="AC200" s="34"/>
      <c r="AD200" s="72">
        <v>0</v>
      </c>
      <c r="AE200" s="73">
        <v>0</v>
      </c>
    </row>
    <row r="201" spans="1:31" ht="18" hidden="1" customHeight="1" outlineLevel="1" x14ac:dyDescent="0.2">
      <c r="A201" s="30" t="s">
        <v>36</v>
      </c>
      <c r="B201" s="30" t="s">
        <v>245</v>
      </c>
      <c r="C201" s="4"/>
      <c r="D201" s="4"/>
      <c r="F201" s="51" t="s">
        <v>248</v>
      </c>
      <c r="G201" s="34"/>
      <c r="H201" s="72">
        <v>0</v>
      </c>
      <c r="I201" s="72">
        <v>0</v>
      </c>
      <c r="J201" s="72">
        <v>0</v>
      </c>
      <c r="K201" s="111">
        <v>0</v>
      </c>
      <c r="L201" s="111">
        <v>0</v>
      </c>
      <c r="M201" s="72">
        <v>0</v>
      </c>
      <c r="N201" s="72">
        <v>0</v>
      </c>
      <c r="O201" s="72">
        <v>0</v>
      </c>
      <c r="P201" s="72">
        <v>0</v>
      </c>
      <c r="Q201" s="72">
        <v>0</v>
      </c>
      <c r="R201" s="72">
        <v>0</v>
      </c>
      <c r="S201" s="72">
        <v>0</v>
      </c>
      <c r="T201" s="72">
        <v>0</v>
      </c>
      <c r="U201" s="72">
        <v>0</v>
      </c>
      <c r="V201" s="72">
        <v>0</v>
      </c>
      <c r="W201" s="72">
        <v>0</v>
      </c>
      <c r="X201" s="72">
        <v>0</v>
      </c>
      <c r="Y201" s="72">
        <v>0</v>
      </c>
      <c r="Z201" s="34"/>
      <c r="AA201" s="72">
        <v>0</v>
      </c>
      <c r="AB201" s="73">
        <v>0</v>
      </c>
      <c r="AC201" s="34"/>
      <c r="AD201" s="72">
        <v>0</v>
      </c>
      <c r="AE201" s="73">
        <v>0</v>
      </c>
    </row>
    <row r="202" spans="1:31" ht="18" customHeight="1" collapsed="1" x14ac:dyDescent="0.2">
      <c r="A202" s="30" t="s">
        <v>36</v>
      </c>
      <c r="B202" s="30" t="s">
        <v>22</v>
      </c>
      <c r="C202" s="4"/>
      <c r="D202" s="4"/>
      <c r="F202" s="97" t="s">
        <v>250</v>
      </c>
      <c r="H202" s="74">
        <v>0</v>
      </c>
      <c r="I202" s="74">
        <v>0</v>
      </c>
      <c r="J202" s="74">
        <v>0</v>
      </c>
      <c r="K202" s="112">
        <v>0</v>
      </c>
      <c r="L202" s="112">
        <v>0</v>
      </c>
      <c r="M202" s="74">
        <v>0</v>
      </c>
      <c r="N202" s="74">
        <v>0</v>
      </c>
      <c r="O202" s="74">
        <v>0</v>
      </c>
      <c r="P202" s="74">
        <v>0</v>
      </c>
      <c r="Q202" s="74">
        <v>0</v>
      </c>
      <c r="R202" s="74">
        <v>0</v>
      </c>
      <c r="S202" s="74">
        <v>0</v>
      </c>
      <c r="T202" s="74">
        <v>0</v>
      </c>
      <c r="U202" s="74">
        <v>0</v>
      </c>
      <c r="V202" s="74">
        <v>0</v>
      </c>
      <c r="W202" s="74">
        <v>0</v>
      </c>
      <c r="X202" s="74">
        <v>0</v>
      </c>
      <c r="Y202" s="74">
        <v>0</v>
      </c>
      <c r="AA202" s="74">
        <v>0</v>
      </c>
      <c r="AB202" s="73">
        <v>0</v>
      </c>
      <c r="AD202" s="74">
        <v>0</v>
      </c>
      <c r="AE202" s="73">
        <v>0</v>
      </c>
    </row>
    <row r="203" spans="1:31" ht="18" hidden="1" customHeight="1" outlineLevel="1" collapsed="1" x14ac:dyDescent="0.2">
      <c r="A203" s="33" t="s">
        <v>211</v>
      </c>
      <c r="B203" s="33" t="s">
        <v>22</v>
      </c>
      <c r="C203" s="4"/>
      <c r="D203" s="4"/>
      <c r="F203" s="98" t="s">
        <v>212</v>
      </c>
      <c r="G203" s="34"/>
      <c r="H203" s="75">
        <v>0</v>
      </c>
      <c r="I203" s="75">
        <v>0</v>
      </c>
      <c r="J203" s="75">
        <v>0</v>
      </c>
      <c r="K203" s="112">
        <v>0</v>
      </c>
      <c r="L203" s="112">
        <v>0</v>
      </c>
      <c r="M203" s="75">
        <v>0</v>
      </c>
      <c r="N203" s="75">
        <v>0</v>
      </c>
      <c r="O203" s="75">
        <v>0</v>
      </c>
      <c r="P203" s="75">
        <v>0</v>
      </c>
      <c r="Q203" s="75">
        <v>0</v>
      </c>
      <c r="R203" s="75">
        <v>0</v>
      </c>
      <c r="S203" s="75">
        <v>0</v>
      </c>
      <c r="T203" s="75">
        <v>0</v>
      </c>
      <c r="U203" s="75">
        <v>0</v>
      </c>
      <c r="V203" s="75">
        <v>0</v>
      </c>
      <c r="W203" s="75">
        <v>0</v>
      </c>
      <c r="X203" s="75">
        <v>0</v>
      </c>
      <c r="Y203" s="75">
        <v>0</v>
      </c>
      <c r="Z203" s="34"/>
      <c r="AA203" s="75">
        <v>0</v>
      </c>
      <c r="AB203" s="76">
        <v>0</v>
      </c>
      <c r="AC203" s="34"/>
      <c r="AD203" s="75">
        <v>0</v>
      </c>
      <c r="AE203" s="76">
        <v>0</v>
      </c>
    </row>
    <row r="204" spans="1:31" ht="18" hidden="1" customHeight="1" outlineLevel="1" collapsed="1" x14ac:dyDescent="0.2">
      <c r="A204" s="35"/>
      <c r="B204" s="35"/>
      <c r="C204" s="4"/>
      <c r="D204" s="4"/>
      <c r="F204" s="97" t="s">
        <v>251</v>
      </c>
      <c r="H204" s="74">
        <v>0</v>
      </c>
      <c r="I204" s="74">
        <v>0</v>
      </c>
      <c r="J204" s="74">
        <v>0</v>
      </c>
      <c r="K204" s="112">
        <v>0</v>
      </c>
      <c r="L204" s="112">
        <v>0</v>
      </c>
      <c r="M204" s="74">
        <v>0</v>
      </c>
      <c r="N204" s="74">
        <v>0</v>
      </c>
      <c r="O204" s="74">
        <v>0</v>
      </c>
      <c r="P204" s="74">
        <v>0</v>
      </c>
      <c r="Q204" s="74">
        <v>0</v>
      </c>
      <c r="R204" s="74">
        <v>0</v>
      </c>
      <c r="S204" s="74">
        <v>0</v>
      </c>
      <c r="T204" s="74">
        <v>0</v>
      </c>
      <c r="U204" s="74">
        <v>0</v>
      </c>
      <c r="V204" s="74">
        <v>0</v>
      </c>
      <c r="W204" s="74">
        <v>0</v>
      </c>
      <c r="X204" s="74">
        <v>0</v>
      </c>
      <c r="Y204" s="74">
        <v>0</v>
      </c>
      <c r="AA204" s="74">
        <v>0</v>
      </c>
      <c r="AB204" s="73">
        <v>0</v>
      </c>
      <c r="AD204" s="74">
        <v>0</v>
      </c>
      <c r="AE204" s="73">
        <v>0</v>
      </c>
    </row>
    <row r="205" spans="1:31" ht="12.95" hidden="1" customHeight="1" outlineLevel="1" x14ac:dyDescent="0.2">
      <c r="A205" s="35"/>
      <c r="B205" s="35"/>
      <c r="C205" s="4"/>
      <c r="D205" s="4"/>
      <c r="F205" s="39" t="s">
        <v>37</v>
      </c>
      <c r="H205" s="68">
        <v>0</v>
      </c>
      <c r="I205" s="68">
        <v>0</v>
      </c>
      <c r="J205" s="68">
        <v>0</v>
      </c>
      <c r="K205" s="113">
        <v>0</v>
      </c>
      <c r="L205" s="113">
        <v>0</v>
      </c>
      <c r="M205" s="68">
        <v>0</v>
      </c>
      <c r="N205" s="68">
        <v>0</v>
      </c>
      <c r="O205" s="68">
        <v>0</v>
      </c>
      <c r="P205" s="68">
        <v>0</v>
      </c>
      <c r="Q205" s="68">
        <v>0</v>
      </c>
      <c r="R205" s="68">
        <v>0</v>
      </c>
      <c r="S205" s="68">
        <v>0</v>
      </c>
      <c r="T205" s="68">
        <v>0</v>
      </c>
      <c r="U205" s="68">
        <v>0</v>
      </c>
      <c r="V205" s="68">
        <v>0</v>
      </c>
      <c r="W205" s="68">
        <v>0</v>
      </c>
      <c r="X205" s="68">
        <v>0</v>
      </c>
      <c r="Y205" s="68">
        <v>0</v>
      </c>
      <c r="AA205" s="68">
        <v>0</v>
      </c>
      <c r="AB205" s="69"/>
      <c r="AD205" s="68">
        <v>0</v>
      </c>
      <c r="AE205" s="69"/>
    </row>
    <row r="206" spans="1:31" ht="18" customHeight="1" collapsed="1" x14ac:dyDescent="0.2">
      <c r="A206" s="30" t="s">
        <v>220</v>
      </c>
      <c r="B206" s="30" t="s">
        <v>22</v>
      </c>
      <c r="C206" s="4">
        <v>0</v>
      </c>
      <c r="D206" s="4">
        <v>0</v>
      </c>
      <c r="F206" s="106" t="s">
        <v>66</v>
      </c>
      <c r="H206" s="61">
        <v>0</v>
      </c>
      <c r="I206" s="61">
        <v>0</v>
      </c>
      <c r="J206" s="61">
        <v>0</v>
      </c>
      <c r="K206" s="86">
        <v>0</v>
      </c>
      <c r="L206" s="86">
        <v>0</v>
      </c>
      <c r="M206" s="61">
        <v>0</v>
      </c>
      <c r="N206" s="61">
        <v>0</v>
      </c>
      <c r="O206" s="61">
        <v>0</v>
      </c>
      <c r="P206" s="61">
        <v>0</v>
      </c>
      <c r="Q206" s="61">
        <v>0</v>
      </c>
      <c r="R206" s="61">
        <v>0</v>
      </c>
      <c r="S206" s="61">
        <v>0</v>
      </c>
      <c r="T206" s="61">
        <v>0</v>
      </c>
      <c r="U206" s="61">
        <v>0</v>
      </c>
      <c r="V206" s="61">
        <v>0</v>
      </c>
      <c r="W206" s="61">
        <v>0</v>
      </c>
      <c r="X206" s="61">
        <v>0</v>
      </c>
      <c r="Y206" s="61">
        <v>0</v>
      </c>
      <c r="AA206" s="61">
        <v>0</v>
      </c>
      <c r="AB206" s="60">
        <v>0</v>
      </c>
      <c r="AD206" s="61">
        <v>0</v>
      </c>
      <c r="AE206" s="60">
        <v>0</v>
      </c>
    </row>
    <row r="207" spans="1:31" ht="18" customHeight="1" x14ac:dyDescent="0.2">
      <c r="A207" s="30" t="s">
        <v>218</v>
      </c>
      <c r="B207" s="30" t="s">
        <v>22</v>
      </c>
      <c r="C207" s="4">
        <v>0</v>
      </c>
      <c r="D207" s="4">
        <v>0</v>
      </c>
      <c r="F207" s="104" t="s">
        <v>219</v>
      </c>
      <c r="G207" s="36"/>
      <c r="H207" s="65">
        <v>0</v>
      </c>
      <c r="I207" s="65">
        <v>0</v>
      </c>
      <c r="J207" s="65">
        <v>0</v>
      </c>
      <c r="K207" s="65">
        <v>0</v>
      </c>
      <c r="L207" s="65">
        <v>0</v>
      </c>
      <c r="M207" s="65">
        <v>0</v>
      </c>
      <c r="N207" s="65">
        <v>0</v>
      </c>
      <c r="O207" s="65">
        <v>0</v>
      </c>
      <c r="P207" s="65">
        <v>0</v>
      </c>
      <c r="Q207" s="65">
        <v>0</v>
      </c>
      <c r="R207" s="65">
        <v>0</v>
      </c>
      <c r="S207" s="65">
        <v>0</v>
      </c>
      <c r="T207" s="65">
        <v>0</v>
      </c>
      <c r="U207" s="65">
        <v>0</v>
      </c>
      <c r="V207" s="65">
        <v>0</v>
      </c>
      <c r="W207" s="65">
        <v>0</v>
      </c>
      <c r="X207" s="65">
        <v>0</v>
      </c>
      <c r="Y207" s="65">
        <v>0</v>
      </c>
      <c r="Z207" s="36"/>
      <c r="AA207" s="65">
        <v>0</v>
      </c>
      <c r="AB207" s="60">
        <v>0</v>
      </c>
      <c r="AC207" s="36"/>
      <c r="AD207" s="65">
        <v>0</v>
      </c>
      <c r="AE207" s="60">
        <v>0</v>
      </c>
    </row>
    <row r="208" spans="1:31" ht="18" customHeight="1" x14ac:dyDescent="0.2">
      <c r="A208" s="30" t="s">
        <v>34</v>
      </c>
      <c r="B208" s="30" t="s">
        <v>22</v>
      </c>
      <c r="C208" s="4">
        <v>0</v>
      </c>
      <c r="D208" s="4">
        <v>0</v>
      </c>
      <c r="F208" s="106" t="s">
        <v>57</v>
      </c>
      <c r="H208" s="61">
        <v>0</v>
      </c>
      <c r="I208" s="61">
        <v>0</v>
      </c>
      <c r="J208" s="61">
        <v>0</v>
      </c>
      <c r="K208" s="86">
        <v>0</v>
      </c>
      <c r="L208" s="86">
        <v>0</v>
      </c>
      <c r="M208" s="61">
        <v>0</v>
      </c>
      <c r="N208" s="61">
        <v>0</v>
      </c>
      <c r="O208" s="61">
        <v>0</v>
      </c>
      <c r="P208" s="61">
        <v>0</v>
      </c>
      <c r="Q208" s="61">
        <v>0</v>
      </c>
      <c r="R208" s="61">
        <v>0</v>
      </c>
      <c r="S208" s="61">
        <v>0</v>
      </c>
      <c r="T208" s="61">
        <v>0</v>
      </c>
      <c r="U208" s="61">
        <v>0</v>
      </c>
      <c r="V208" s="61">
        <v>0</v>
      </c>
      <c r="W208" s="61">
        <v>0</v>
      </c>
      <c r="X208" s="61">
        <v>0</v>
      </c>
      <c r="Y208" s="61">
        <v>0</v>
      </c>
      <c r="AA208" s="61">
        <v>0</v>
      </c>
      <c r="AB208" s="60">
        <v>0</v>
      </c>
      <c r="AD208" s="61">
        <v>0</v>
      </c>
      <c r="AE208" s="60">
        <v>0</v>
      </c>
    </row>
    <row r="209" spans="1:31" ht="18" customHeight="1" x14ac:dyDescent="0.2">
      <c r="A209" s="30" t="s">
        <v>221</v>
      </c>
      <c r="B209" s="30" t="s">
        <v>22</v>
      </c>
      <c r="C209" s="4">
        <v>0</v>
      </c>
      <c r="D209" s="4">
        <v>0</v>
      </c>
      <c r="F209" s="106" t="s">
        <v>379</v>
      </c>
      <c r="H209" s="61">
        <v>0</v>
      </c>
      <c r="I209" s="61">
        <v>0</v>
      </c>
      <c r="J209" s="61">
        <v>0</v>
      </c>
      <c r="K209" s="86">
        <v>0</v>
      </c>
      <c r="L209" s="86">
        <v>0</v>
      </c>
      <c r="M209" s="61">
        <v>0</v>
      </c>
      <c r="N209" s="61">
        <v>0</v>
      </c>
      <c r="O209" s="61">
        <v>0</v>
      </c>
      <c r="P209" s="61">
        <v>0</v>
      </c>
      <c r="Q209" s="61">
        <v>0</v>
      </c>
      <c r="R209" s="61">
        <v>0</v>
      </c>
      <c r="S209" s="61">
        <v>0</v>
      </c>
      <c r="T209" s="61">
        <v>0</v>
      </c>
      <c r="U209" s="61">
        <v>0</v>
      </c>
      <c r="V209" s="61">
        <v>0</v>
      </c>
      <c r="W209" s="61">
        <v>0</v>
      </c>
      <c r="X209" s="61">
        <v>0</v>
      </c>
      <c r="Y209" s="61">
        <v>0</v>
      </c>
      <c r="AA209" s="61">
        <v>0</v>
      </c>
      <c r="AB209" s="60">
        <v>0</v>
      </c>
      <c r="AD209" s="61">
        <v>0</v>
      </c>
      <c r="AE209" s="60">
        <v>0</v>
      </c>
    </row>
    <row r="210" spans="1:31" ht="18" customHeight="1" x14ac:dyDescent="0.2">
      <c r="A210" s="30" t="s">
        <v>430</v>
      </c>
      <c r="B210" s="30" t="s">
        <v>22</v>
      </c>
      <c r="C210" s="4">
        <v>0</v>
      </c>
      <c r="D210" s="4">
        <v>0</v>
      </c>
      <c r="F210" s="106" t="s">
        <v>431</v>
      </c>
      <c r="H210" s="61">
        <v>0</v>
      </c>
      <c r="I210" s="61">
        <v>0</v>
      </c>
      <c r="J210" s="61">
        <v>0</v>
      </c>
      <c r="K210" s="86">
        <v>0</v>
      </c>
      <c r="L210" s="86">
        <v>0</v>
      </c>
      <c r="M210" s="61">
        <v>0</v>
      </c>
      <c r="N210" s="61">
        <v>0</v>
      </c>
      <c r="O210" s="61">
        <v>0</v>
      </c>
      <c r="P210" s="61">
        <v>0</v>
      </c>
      <c r="Q210" s="61">
        <v>0</v>
      </c>
      <c r="R210" s="61">
        <v>0</v>
      </c>
      <c r="S210" s="61">
        <v>0</v>
      </c>
      <c r="T210" s="61">
        <v>0</v>
      </c>
      <c r="U210" s="61">
        <v>0</v>
      </c>
      <c r="V210" s="61">
        <v>0</v>
      </c>
      <c r="W210" s="61">
        <v>0</v>
      </c>
      <c r="X210" s="61">
        <v>0</v>
      </c>
      <c r="Y210" s="61">
        <v>0</v>
      </c>
      <c r="AA210" s="61">
        <v>0</v>
      </c>
      <c r="AB210" s="60">
        <v>0</v>
      </c>
      <c r="AD210" s="61">
        <v>0</v>
      </c>
      <c r="AE210" s="60">
        <v>0</v>
      </c>
    </row>
    <row r="211" spans="1:31" ht="18" customHeight="1" x14ac:dyDescent="0.2">
      <c r="A211" s="30" t="s">
        <v>35</v>
      </c>
      <c r="B211" s="30" t="s">
        <v>22</v>
      </c>
      <c r="C211" s="4">
        <v>0</v>
      </c>
      <c r="D211" s="4">
        <v>0</v>
      </c>
      <c r="F211" s="106" t="s">
        <v>67</v>
      </c>
      <c r="H211" s="61">
        <v>0</v>
      </c>
      <c r="I211" s="61">
        <v>0</v>
      </c>
      <c r="J211" s="61">
        <v>0</v>
      </c>
      <c r="K211" s="86">
        <v>0</v>
      </c>
      <c r="L211" s="86">
        <v>0</v>
      </c>
      <c r="M211" s="61">
        <v>0</v>
      </c>
      <c r="N211" s="61">
        <v>0</v>
      </c>
      <c r="O211" s="61">
        <v>0</v>
      </c>
      <c r="P211" s="61">
        <v>0</v>
      </c>
      <c r="Q211" s="61">
        <v>0</v>
      </c>
      <c r="R211" s="61">
        <v>0</v>
      </c>
      <c r="S211" s="61">
        <v>0</v>
      </c>
      <c r="T211" s="61">
        <v>0</v>
      </c>
      <c r="U211" s="61">
        <v>0</v>
      </c>
      <c r="V211" s="61">
        <v>0</v>
      </c>
      <c r="W211" s="61">
        <v>0</v>
      </c>
      <c r="X211" s="61">
        <v>0</v>
      </c>
      <c r="Y211" s="61">
        <v>0</v>
      </c>
      <c r="AA211" s="61">
        <v>0</v>
      </c>
      <c r="AB211" s="60">
        <v>0</v>
      </c>
      <c r="AD211" s="61">
        <v>0</v>
      </c>
      <c r="AE211" s="60">
        <v>0</v>
      </c>
    </row>
    <row r="212" spans="1:31" ht="18" hidden="1" customHeight="1" outlineLevel="1" collapsed="1" x14ac:dyDescent="0.2">
      <c r="A212" s="35"/>
      <c r="B212" s="35"/>
      <c r="C212" s="4"/>
      <c r="D212" s="4"/>
      <c r="F212" s="97" t="s">
        <v>454</v>
      </c>
      <c r="H212" s="74">
        <v>0</v>
      </c>
      <c r="I212" s="74">
        <v>0</v>
      </c>
      <c r="J212" s="74">
        <v>0</v>
      </c>
      <c r="K212" s="112">
        <v>0</v>
      </c>
      <c r="L212" s="112">
        <v>0</v>
      </c>
      <c r="M212" s="74">
        <v>0</v>
      </c>
      <c r="N212" s="74">
        <v>0</v>
      </c>
      <c r="O212" s="74">
        <v>0</v>
      </c>
      <c r="P212" s="74">
        <v>0</v>
      </c>
      <c r="Q212" s="74">
        <v>0</v>
      </c>
      <c r="R212" s="74">
        <v>0</v>
      </c>
      <c r="S212" s="74">
        <v>0</v>
      </c>
      <c r="T212" s="74">
        <v>0</v>
      </c>
      <c r="U212" s="74">
        <v>0</v>
      </c>
      <c r="V212" s="74">
        <v>0</v>
      </c>
      <c r="W212" s="74">
        <v>0</v>
      </c>
      <c r="X212" s="74">
        <v>0</v>
      </c>
      <c r="Y212" s="74">
        <v>0</v>
      </c>
      <c r="AA212" s="74">
        <v>0</v>
      </c>
      <c r="AB212" s="73">
        <v>0</v>
      </c>
      <c r="AD212" s="74">
        <v>0</v>
      </c>
      <c r="AE212" s="73">
        <v>0</v>
      </c>
    </row>
    <row r="213" spans="1:31" ht="18" customHeight="1" collapsed="1" x14ac:dyDescent="0.2">
      <c r="A213" s="30" t="s">
        <v>20</v>
      </c>
      <c r="B213" s="30" t="s">
        <v>22</v>
      </c>
      <c r="C213" s="4">
        <v>0</v>
      </c>
      <c r="D213" s="4">
        <v>0</v>
      </c>
      <c r="F213" s="106" t="s">
        <v>68</v>
      </c>
      <c r="H213" s="61">
        <v>0</v>
      </c>
      <c r="I213" s="61">
        <v>0</v>
      </c>
      <c r="J213" s="61">
        <v>0</v>
      </c>
      <c r="K213" s="86">
        <v>0</v>
      </c>
      <c r="L213" s="86">
        <v>0</v>
      </c>
      <c r="M213" s="61">
        <v>0</v>
      </c>
      <c r="N213" s="61">
        <v>0</v>
      </c>
      <c r="O213" s="61">
        <v>0</v>
      </c>
      <c r="P213" s="61">
        <v>0</v>
      </c>
      <c r="Q213" s="61">
        <v>0</v>
      </c>
      <c r="R213" s="61">
        <v>0</v>
      </c>
      <c r="S213" s="61">
        <v>0</v>
      </c>
      <c r="T213" s="61">
        <v>0</v>
      </c>
      <c r="U213" s="61">
        <v>0</v>
      </c>
      <c r="V213" s="61">
        <v>0</v>
      </c>
      <c r="W213" s="61">
        <v>0</v>
      </c>
      <c r="X213" s="61">
        <v>0</v>
      </c>
      <c r="Y213" s="61">
        <v>0</v>
      </c>
      <c r="AA213" s="61">
        <v>0</v>
      </c>
      <c r="AB213" s="60">
        <v>0</v>
      </c>
      <c r="AD213" s="61">
        <v>0</v>
      </c>
      <c r="AE213" s="60">
        <v>0</v>
      </c>
    </row>
    <row r="214" spans="1:31" ht="18" customHeight="1" x14ac:dyDescent="0.2">
      <c r="A214" s="35"/>
      <c r="B214" s="35"/>
      <c r="C214" s="4">
        <v>0</v>
      </c>
      <c r="D214" s="4">
        <v>0</v>
      </c>
      <c r="F214" s="95" t="s">
        <v>275</v>
      </c>
      <c r="H214" s="198">
        <v>0</v>
      </c>
      <c r="I214" s="198">
        <v>0</v>
      </c>
      <c r="J214" s="198">
        <v>0</v>
      </c>
      <c r="K214" s="89">
        <v>0</v>
      </c>
      <c r="L214" s="89">
        <v>0</v>
      </c>
      <c r="M214" s="64">
        <v>0</v>
      </c>
      <c r="N214" s="64">
        <v>0</v>
      </c>
      <c r="O214" s="64">
        <v>0</v>
      </c>
      <c r="P214" s="64">
        <v>0</v>
      </c>
      <c r="Q214" s="64">
        <v>0</v>
      </c>
      <c r="R214" s="64">
        <v>0</v>
      </c>
      <c r="S214" s="64">
        <v>0</v>
      </c>
      <c r="T214" s="64">
        <v>0</v>
      </c>
      <c r="U214" s="64">
        <v>0</v>
      </c>
      <c r="V214" s="64">
        <v>0</v>
      </c>
      <c r="W214" s="64">
        <v>0</v>
      </c>
      <c r="X214" s="64">
        <v>0</v>
      </c>
      <c r="Y214" s="64">
        <v>0</v>
      </c>
      <c r="AA214" s="64">
        <v>0</v>
      </c>
      <c r="AB214" s="60">
        <v>0</v>
      </c>
      <c r="AD214" s="64">
        <v>0</v>
      </c>
      <c r="AE214" s="60">
        <v>0</v>
      </c>
    </row>
    <row r="215" spans="1:31" ht="12.95" customHeight="1" x14ac:dyDescent="0.2">
      <c r="A215" s="35"/>
      <c r="B215" s="35"/>
      <c r="C215" s="4"/>
      <c r="D215" s="4"/>
      <c r="F215" s="39" t="s">
        <v>223</v>
      </c>
      <c r="H215" s="56" t="e">
        <v>#DIV/0!</v>
      </c>
      <c r="I215" s="56">
        <v>0</v>
      </c>
      <c r="J215" s="56">
        <v>0</v>
      </c>
      <c r="K215" s="109" t="e">
        <v>#DIV/0!</v>
      </c>
      <c r="L215" s="109" t="e">
        <v>#DIV/0!</v>
      </c>
      <c r="M215" s="56" t="e">
        <v>#DIV/0!</v>
      </c>
      <c r="N215" s="56" t="e">
        <v>#DIV/0!</v>
      </c>
      <c r="O215" s="56" t="e">
        <v>#DIV/0!</v>
      </c>
      <c r="P215" s="56" t="e">
        <v>#DIV/0!</v>
      </c>
      <c r="Q215" s="56" t="e">
        <v>#DIV/0!</v>
      </c>
      <c r="R215" s="56" t="e">
        <v>#DIV/0!</v>
      </c>
      <c r="S215" s="56" t="e">
        <v>#DIV/0!</v>
      </c>
      <c r="T215" s="56" t="e">
        <v>#DIV/0!</v>
      </c>
      <c r="U215" s="56" t="e">
        <v>#DIV/0!</v>
      </c>
      <c r="V215" s="56" t="e">
        <v>#DIV/0!</v>
      </c>
      <c r="W215" s="56" t="e">
        <v>#DIV/0!</v>
      </c>
      <c r="X215" s="56" t="e">
        <v>#DIV/0!</v>
      </c>
      <c r="Y215" s="56" t="e">
        <v>#DIV/0!</v>
      </c>
      <c r="AA215" s="56" t="e">
        <v>#DIV/0!</v>
      </c>
      <c r="AB215" s="57"/>
      <c r="AD215" s="56" t="e">
        <v>#DIV/0!</v>
      </c>
      <c r="AE215" s="57"/>
    </row>
    <row r="216" spans="1:31" ht="6.95" customHeight="1" x14ac:dyDescent="0.2">
      <c r="C216" s="4"/>
      <c r="D216" s="4"/>
      <c r="F216" s="96"/>
      <c r="H216" s="16"/>
      <c r="I216" s="16"/>
      <c r="J216" s="16"/>
      <c r="K216" s="85"/>
      <c r="L216" s="85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AA216" s="16"/>
      <c r="AB216" s="20"/>
      <c r="AD216" s="16"/>
      <c r="AE216" s="20"/>
    </row>
    <row r="217" spans="1:31" ht="18" customHeight="1" x14ac:dyDescent="0.2">
      <c r="A217" s="30" t="s">
        <v>70</v>
      </c>
      <c r="B217" s="30" t="s">
        <v>22</v>
      </c>
      <c r="C217" s="4"/>
      <c r="D217" s="4"/>
      <c r="F217" s="97" t="s">
        <v>226</v>
      </c>
      <c r="H217" s="74">
        <v>0</v>
      </c>
      <c r="I217" s="74">
        <v>0</v>
      </c>
      <c r="J217" s="74">
        <v>0</v>
      </c>
      <c r="K217" s="112">
        <v>0</v>
      </c>
      <c r="L217" s="112">
        <v>0</v>
      </c>
      <c r="M217" s="74">
        <v>0</v>
      </c>
      <c r="N217" s="74">
        <v>0</v>
      </c>
      <c r="O217" s="74">
        <v>0</v>
      </c>
      <c r="P217" s="74">
        <v>0</v>
      </c>
      <c r="Q217" s="74">
        <v>0</v>
      </c>
      <c r="R217" s="74">
        <v>0</v>
      </c>
      <c r="S217" s="74">
        <v>0</v>
      </c>
      <c r="T217" s="74">
        <v>0</v>
      </c>
      <c r="U217" s="74">
        <v>0</v>
      </c>
      <c r="V217" s="74">
        <v>0</v>
      </c>
      <c r="W217" s="74">
        <v>0</v>
      </c>
      <c r="X217" s="74">
        <v>0</v>
      </c>
      <c r="Y217" s="74">
        <v>0</v>
      </c>
      <c r="AA217" s="74">
        <v>0</v>
      </c>
      <c r="AB217" s="73">
        <v>0</v>
      </c>
      <c r="AD217" s="74">
        <v>0</v>
      </c>
      <c r="AE217" s="73">
        <v>0</v>
      </c>
    </row>
    <row r="218" spans="1:31" ht="12.95" customHeight="1" x14ac:dyDescent="0.2">
      <c r="A218" s="35"/>
      <c r="B218" s="35"/>
      <c r="C218" s="4"/>
      <c r="D218" s="4"/>
      <c r="F218" s="39" t="s">
        <v>71</v>
      </c>
      <c r="H218" s="132">
        <v>0</v>
      </c>
      <c r="I218" s="132">
        <v>0</v>
      </c>
      <c r="J218" s="132">
        <v>0</v>
      </c>
      <c r="K218" s="133">
        <v>0</v>
      </c>
      <c r="L218" s="133">
        <v>0</v>
      </c>
      <c r="M218" s="132">
        <v>0</v>
      </c>
      <c r="N218" s="132">
        <v>0</v>
      </c>
      <c r="O218" s="132">
        <v>0</v>
      </c>
      <c r="P218" s="132">
        <v>0</v>
      </c>
      <c r="Q218" s="132">
        <v>0</v>
      </c>
      <c r="R218" s="132">
        <v>0</v>
      </c>
      <c r="S218" s="132">
        <v>0</v>
      </c>
      <c r="T218" s="132">
        <v>0</v>
      </c>
      <c r="U218" s="132">
        <v>0</v>
      </c>
      <c r="V218" s="132">
        <v>0</v>
      </c>
      <c r="W218" s="132">
        <v>0</v>
      </c>
      <c r="X218" s="132">
        <v>0</v>
      </c>
      <c r="Y218" s="132">
        <v>0</v>
      </c>
      <c r="AA218" s="132">
        <v>0</v>
      </c>
      <c r="AB218" s="134">
        <v>0</v>
      </c>
      <c r="AD218" s="132">
        <v>0</v>
      </c>
      <c r="AE218" s="134">
        <v>0</v>
      </c>
    </row>
    <row r="219" spans="1:31" ht="18" customHeight="1" x14ac:dyDescent="0.2">
      <c r="A219" s="30" t="s">
        <v>63</v>
      </c>
      <c r="B219" s="30" t="s">
        <v>22</v>
      </c>
      <c r="C219" s="4">
        <v>0</v>
      </c>
      <c r="D219" s="4">
        <v>0</v>
      </c>
      <c r="F219" s="106" t="s">
        <v>201</v>
      </c>
      <c r="H219" s="61">
        <v>0</v>
      </c>
      <c r="I219" s="61">
        <v>0</v>
      </c>
      <c r="J219" s="61">
        <v>0</v>
      </c>
      <c r="K219" s="86">
        <v>0</v>
      </c>
      <c r="L219" s="86">
        <v>0</v>
      </c>
      <c r="M219" s="61">
        <v>0</v>
      </c>
      <c r="N219" s="61">
        <v>0</v>
      </c>
      <c r="O219" s="61">
        <v>0</v>
      </c>
      <c r="P219" s="61">
        <v>0</v>
      </c>
      <c r="Q219" s="61">
        <v>0</v>
      </c>
      <c r="R219" s="61">
        <v>0</v>
      </c>
      <c r="S219" s="61">
        <v>0</v>
      </c>
      <c r="T219" s="61">
        <v>0</v>
      </c>
      <c r="U219" s="61">
        <v>0</v>
      </c>
      <c r="V219" s="61">
        <v>0</v>
      </c>
      <c r="W219" s="61">
        <v>0</v>
      </c>
      <c r="X219" s="61">
        <v>0</v>
      </c>
      <c r="Y219" s="61">
        <v>0</v>
      </c>
      <c r="AA219" s="61">
        <v>0</v>
      </c>
      <c r="AB219" s="60">
        <v>0</v>
      </c>
      <c r="AD219" s="61">
        <v>0</v>
      </c>
      <c r="AE219" s="60">
        <v>0</v>
      </c>
    </row>
    <row r="220" spans="1:31" ht="18" customHeight="1" x14ac:dyDescent="0.2">
      <c r="A220" s="30" t="s">
        <v>64</v>
      </c>
      <c r="B220" s="30" t="s">
        <v>22</v>
      </c>
      <c r="C220" s="4">
        <v>0</v>
      </c>
      <c r="D220" s="4">
        <v>0</v>
      </c>
      <c r="F220" s="106" t="s">
        <v>202</v>
      </c>
      <c r="H220" s="61">
        <v>0</v>
      </c>
      <c r="I220" s="61">
        <v>0</v>
      </c>
      <c r="J220" s="61">
        <v>0</v>
      </c>
      <c r="K220" s="86">
        <v>0</v>
      </c>
      <c r="L220" s="86">
        <v>0</v>
      </c>
      <c r="M220" s="61">
        <v>0</v>
      </c>
      <c r="N220" s="61">
        <v>0</v>
      </c>
      <c r="O220" s="61">
        <v>0</v>
      </c>
      <c r="P220" s="61">
        <v>0</v>
      </c>
      <c r="Q220" s="61">
        <v>0</v>
      </c>
      <c r="R220" s="61">
        <v>0</v>
      </c>
      <c r="S220" s="61">
        <v>0</v>
      </c>
      <c r="T220" s="61">
        <v>0</v>
      </c>
      <c r="U220" s="61">
        <v>0</v>
      </c>
      <c r="V220" s="61">
        <v>0</v>
      </c>
      <c r="W220" s="61">
        <v>0</v>
      </c>
      <c r="X220" s="61">
        <v>0</v>
      </c>
      <c r="Y220" s="61">
        <v>0</v>
      </c>
      <c r="AA220" s="61">
        <v>0</v>
      </c>
      <c r="AB220" s="60">
        <v>0</v>
      </c>
      <c r="AD220" s="61">
        <v>0</v>
      </c>
      <c r="AE220" s="60">
        <v>0</v>
      </c>
    </row>
    <row r="221" spans="1:31" ht="18" hidden="1" customHeight="1" outlineLevel="1" x14ac:dyDescent="0.2">
      <c r="A221" s="30" t="s">
        <v>150</v>
      </c>
      <c r="B221" s="30" t="s">
        <v>22</v>
      </c>
      <c r="C221" s="4">
        <v>0</v>
      </c>
      <c r="D221" s="4">
        <v>0</v>
      </c>
      <c r="F221" s="38" t="s">
        <v>151</v>
      </c>
      <c r="G221" s="34"/>
      <c r="H221" s="66">
        <v>0</v>
      </c>
      <c r="I221" s="66">
        <v>0</v>
      </c>
      <c r="J221" s="66">
        <v>0</v>
      </c>
      <c r="K221" s="86">
        <v>0</v>
      </c>
      <c r="L221" s="86">
        <v>0</v>
      </c>
      <c r="M221" s="66">
        <v>0</v>
      </c>
      <c r="N221" s="66">
        <v>0</v>
      </c>
      <c r="O221" s="66">
        <v>0</v>
      </c>
      <c r="P221" s="66">
        <v>0</v>
      </c>
      <c r="Q221" s="66">
        <v>0</v>
      </c>
      <c r="R221" s="66">
        <v>0</v>
      </c>
      <c r="S221" s="66">
        <v>0</v>
      </c>
      <c r="T221" s="66">
        <v>0</v>
      </c>
      <c r="U221" s="66">
        <v>0</v>
      </c>
      <c r="V221" s="66">
        <v>0</v>
      </c>
      <c r="W221" s="66">
        <v>0</v>
      </c>
      <c r="X221" s="66">
        <v>0</v>
      </c>
      <c r="Y221" s="66">
        <v>0</v>
      </c>
      <c r="Z221" s="34"/>
      <c r="AA221" s="66">
        <v>0</v>
      </c>
      <c r="AB221" s="60">
        <v>0</v>
      </c>
      <c r="AC221" s="34"/>
      <c r="AD221" s="66">
        <v>0</v>
      </c>
      <c r="AE221" s="60">
        <v>0</v>
      </c>
    </row>
    <row r="222" spans="1:31" ht="18" hidden="1" customHeight="1" outlineLevel="1" x14ac:dyDescent="0.2">
      <c r="A222" s="30" t="s">
        <v>168</v>
      </c>
      <c r="B222" s="30" t="s">
        <v>22</v>
      </c>
      <c r="C222" s="4">
        <v>0</v>
      </c>
      <c r="D222" s="4">
        <v>0</v>
      </c>
      <c r="F222" s="38" t="s">
        <v>169</v>
      </c>
      <c r="G222" s="34"/>
      <c r="H222" s="66">
        <v>0</v>
      </c>
      <c r="I222" s="66">
        <v>0</v>
      </c>
      <c r="J222" s="66">
        <v>0</v>
      </c>
      <c r="K222" s="86">
        <v>0</v>
      </c>
      <c r="L222" s="86">
        <v>0</v>
      </c>
      <c r="M222" s="66">
        <v>0</v>
      </c>
      <c r="N222" s="66">
        <v>0</v>
      </c>
      <c r="O222" s="66">
        <v>0</v>
      </c>
      <c r="P222" s="66">
        <v>0</v>
      </c>
      <c r="Q222" s="66">
        <v>0</v>
      </c>
      <c r="R222" s="66">
        <v>0</v>
      </c>
      <c r="S222" s="66">
        <v>0</v>
      </c>
      <c r="T222" s="66">
        <v>0</v>
      </c>
      <c r="U222" s="66">
        <v>0</v>
      </c>
      <c r="V222" s="66">
        <v>0</v>
      </c>
      <c r="W222" s="66">
        <v>0</v>
      </c>
      <c r="X222" s="66">
        <v>0</v>
      </c>
      <c r="Y222" s="66">
        <v>0</v>
      </c>
      <c r="Z222" s="34"/>
      <c r="AA222" s="66">
        <v>0</v>
      </c>
      <c r="AB222" s="60">
        <v>0</v>
      </c>
      <c r="AC222" s="34"/>
      <c r="AD222" s="66">
        <v>0</v>
      </c>
      <c r="AE222" s="60">
        <v>0</v>
      </c>
    </row>
    <row r="223" spans="1:31" ht="18" hidden="1" customHeight="1" outlineLevel="1" x14ac:dyDescent="0.2">
      <c r="A223" s="30" t="s">
        <v>170</v>
      </c>
      <c r="B223" s="30" t="s">
        <v>22</v>
      </c>
      <c r="C223" s="4">
        <v>0</v>
      </c>
      <c r="D223" s="4">
        <v>0</v>
      </c>
      <c r="F223" s="38" t="s">
        <v>171</v>
      </c>
      <c r="G223" s="34"/>
      <c r="H223" s="66">
        <v>0</v>
      </c>
      <c r="I223" s="66">
        <v>0</v>
      </c>
      <c r="J223" s="66">
        <v>0</v>
      </c>
      <c r="K223" s="86">
        <v>0</v>
      </c>
      <c r="L223" s="86">
        <v>0</v>
      </c>
      <c r="M223" s="66">
        <v>0</v>
      </c>
      <c r="N223" s="66">
        <v>0</v>
      </c>
      <c r="O223" s="66">
        <v>0</v>
      </c>
      <c r="P223" s="66">
        <v>0</v>
      </c>
      <c r="Q223" s="66">
        <v>0</v>
      </c>
      <c r="R223" s="66">
        <v>0</v>
      </c>
      <c r="S223" s="66">
        <v>0</v>
      </c>
      <c r="T223" s="66">
        <v>0</v>
      </c>
      <c r="U223" s="66">
        <v>0</v>
      </c>
      <c r="V223" s="66">
        <v>0</v>
      </c>
      <c r="W223" s="66">
        <v>0</v>
      </c>
      <c r="X223" s="66">
        <v>0</v>
      </c>
      <c r="Y223" s="66">
        <v>0</v>
      </c>
      <c r="Z223" s="34"/>
      <c r="AA223" s="66">
        <v>0</v>
      </c>
      <c r="AB223" s="60">
        <v>0</v>
      </c>
      <c r="AC223" s="34"/>
      <c r="AD223" s="66">
        <v>0</v>
      </c>
      <c r="AE223" s="60">
        <v>0</v>
      </c>
    </row>
    <row r="224" spans="1:31" ht="18" customHeight="1" collapsed="1" x14ac:dyDescent="0.2">
      <c r="A224" s="35"/>
      <c r="B224" s="35"/>
      <c r="C224" s="4">
        <v>0</v>
      </c>
      <c r="D224" s="4">
        <v>0</v>
      </c>
      <c r="F224" s="106" t="s">
        <v>151</v>
      </c>
      <c r="H224" s="61">
        <v>0</v>
      </c>
      <c r="I224" s="61">
        <v>0</v>
      </c>
      <c r="J224" s="61">
        <v>0</v>
      </c>
      <c r="K224" s="86">
        <v>0</v>
      </c>
      <c r="L224" s="86">
        <v>0</v>
      </c>
      <c r="M224" s="61">
        <v>0</v>
      </c>
      <c r="N224" s="61">
        <v>0</v>
      </c>
      <c r="O224" s="61">
        <v>0</v>
      </c>
      <c r="P224" s="61">
        <v>0</v>
      </c>
      <c r="Q224" s="61">
        <v>0</v>
      </c>
      <c r="R224" s="61">
        <v>0</v>
      </c>
      <c r="S224" s="61">
        <v>0</v>
      </c>
      <c r="T224" s="61">
        <v>0</v>
      </c>
      <c r="U224" s="61">
        <v>0</v>
      </c>
      <c r="V224" s="61">
        <v>0</v>
      </c>
      <c r="W224" s="61">
        <v>0</v>
      </c>
      <c r="X224" s="61">
        <v>0</v>
      </c>
      <c r="Y224" s="61">
        <v>0</v>
      </c>
      <c r="AA224" s="61">
        <v>0</v>
      </c>
      <c r="AB224" s="60">
        <v>0</v>
      </c>
      <c r="AD224" s="61">
        <v>0</v>
      </c>
      <c r="AE224" s="60">
        <v>0</v>
      </c>
    </row>
    <row r="225" spans="1:39" ht="18" customHeight="1" collapsed="1" x14ac:dyDescent="0.2">
      <c r="A225" s="30" t="s">
        <v>146</v>
      </c>
      <c r="B225" s="30" t="s">
        <v>22</v>
      </c>
      <c r="C225" s="4">
        <v>0</v>
      </c>
      <c r="D225" s="4">
        <v>0</v>
      </c>
      <c r="F225" s="106" t="s">
        <v>147</v>
      </c>
      <c r="H225" s="61">
        <v>0</v>
      </c>
      <c r="I225" s="61">
        <v>0</v>
      </c>
      <c r="J225" s="61">
        <v>0</v>
      </c>
      <c r="K225" s="86">
        <v>0</v>
      </c>
      <c r="L225" s="86">
        <v>0</v>
      </c>
      <c r="M225" s="61">
        <v>0</v>
      </c>
      <c r="N225" s="61">
        <v>0</v>
      </c>
      <c r="O225" s="61">
        <v>0</v>
      </c>
      <c r="P225" s="61">
        <v>0</v>
      </c>
      <c r="Q225" s="61">
        <v>0</v>
      </c>
      <c r="R225" s="61">
        <v>0</v>
      </c>
      <c r="S225" s="61">
        <v>0</v>
      </c>
      <c r="T225" s="61">
        <v>0</v>
      </c>
      <c r="U225" s="61">
        <v>0</v>
      </c>
      <c r="V225" s="61">
        <v>0</v>
      </c>
      <c r="W225" s="61">
        <v>0</v>
      </c>
      <c r="X225" s="61">
        <v>0</v>
      </c>
      <c r="Y225" s="61">
        <v>0</v>
      </c>
      <c r="AA225" s="61">
        <v>0</v>
      </c>
      <c r="AB225" s="60">
        <v>0</v>
      </c>
      <c r="AD225" s="61">
        <v>0</v>
      </c>
      <c r="AE225" s="60">
        <v>0</v>
      </c>
    </row>
    <row r="226" spans="1:39" ht="18" hidden="1" customHeight="1" outlineLevel="1" x14ac:dyDescent="0.2">
      <c r="A226" s="30" t="s">
        <v>154</v>
      </c>
      <c r="B226" s="30" t="s">
        <v>22</v>
      </c>
      <c r="C226" s="4">
        <v>0</v>
      </c>
      <c r="D226" s="4">
        <v>0</v>
      </c>
      <c r="F226" s="38" t="s">
        <v>155</v>
      </c>
      <c r="G226" s="34"/>
      <c r="H226" s="66">
        <v>0</v>
      </c>
      <c r="I226" s="66">
        <v>0</v>
      </c>
      <c r="J226" s="66">
        <v>0</v>
      </c>
      <c r="K226" s="86">
        <v>0</v>
      </c>
      <c r="L226" s="86">
        <v>0</v>
      </c>
      <c r="M226" s="66">
        <v>0</v>
      </c>
      <c r="N226" s="66">
        <v>0</v>
      </c>
      <c r="O226" s="66">
        <v>0</v>
      </c>
      <c r="P226" s="66">
        <v>0</v>
      </c>
      <c r="Q226" s="66">
        <v>0</v>
      </c>
      <c r="R226" s="66">
        <v>0</v>
      </c>
      <c r="S226" s="66">
        <v>0</v>
      </c>
      <c r="T226" s="66">
        <v>0</v>
      </c>
      <c r="U226" s="66">
        <v>0</v>
      </c>
      <c r="V226" s="66">
        <v>0</v>
      </c>
      <c r="W226" s="66">
        <v>0</v>
      </c>
      <c r="X226" s="66">
        <v>0</v>
      </c>
      <c r="Y226" s="66">
        <v>0</v>
      </c>
      <c r="Z226" s="34"/>
      <c r="AA226" s="66">
        <v>0</v>
      </c>
      <c r="AB226" s="60">
        <v>0</v>
      </c>
      <c r="AC226" s="34"/>
      <c r="AD226" s="66">
        <v>0</v>
      </c>
      <c r="AE226" s="60">
        <v>0</v>
      </c>
    </row>
    <row r="227" spans="1:39" ht="18" hidden="1" customHeight="1" outlineLevel="1" x14ac:dyDescent="0.2">
      <c r="A227" s="30" t="s">
        <v>156</v>
      </c>
      <c r="B227" s="30" t="s">
        <v>22</v>
      </c>
      <c r="C227" s="4">
        <v>0</v>
      </c>
      <c r="D227" s="4">
        <v>0</v>
      </c>
      <c r="F227" s="38" t="s">
        <v>157</v>
      </c>
      <c r="G227" s="34"/>
      <c r="H227" s="66">
        <v>0</v>
      </c>
      <c r="I227" s="66">
        <v>0</v>
      </c>
      <c r="J227" s="66">
        <v>0</v>
      </c>
      <c r="K227" s="86">
        <v>0</v>
      </c>
      <c r="L227" s="86">
        <v>0</v>
      </c>
      <c r="M227" s="66">
        <v>0</v>
      </c>
      <c r="N227" s="66">
        <v>0</v>
      </c>
      <c r="O227" s="66">
        <v>0</v>
      </c>
      <c r="P227" s="66">
        <v>0</v>
      </c>
      <c r="Q227" s="66">
        <v>0</v>
      </c>
      <c r="R227" s="66">
        <v>0</v>
      </c>
      <c r="S227" s="66">
        <v>0</v>
      </c>
      <c r="T227" s="66">
        <v>0</v>
      </c>
      <c r="U227" s="66">
        <v>0</v>
      </c>
      <c r="V227" s="66">
        <v>0</v>
      </c>
      <c r="W227" s="66">
        <v>0</v>
      </c>
      <c r="X227" s="66">
        <v>0</v>
      </c>
      <c r="Y227" s="66">
        <v>0</v>
      </c>
      <c r="Z227" s="34"/>
      <c r="AA227" s="66">
        <v>0</v>
      </c>
      <c r="AB227" s="60">
        <v>0</v>
      </c>
      <c r="AC227" s="34"/>
      <c r="AD227" s="66">
        <v>0</v>
      </c>
      <c r="AE227" s="60">
        <v>0</v>
      </c>
    </row>
    <row r="228" spans="1:39" ht="18" hidden="1" customHeight="1" outlineLevel="1" x14ac:dyDescent="0.2">
      <c r="A228" s="30" t="s">
        <v>160</v>
      </c>
      <c r="B228" s="30" t="s">
        <v>22</v>
      </c>
      <c r="C228" s="4">
        <v>0</v>
      </c>
      <c r="D228" s="4">
        <v>0</v>
      </c>
      <c r="F228" s="38" t="s">
        <v>161</v>
      </c>
      <c r="G228" s="34"/>
      <c r="H228" s="66">
        <v>0</v>
      </c>
      <c r="I228" s="66">
        <v>0</v>
      </c>
      <c r="J228" s="66">
        <v>0</v>
      </c>
      <c r="K228" s="86">
        <v>0</v>
      </c>
      <c r="L228" s="86">
        <v>0</v>
      </c>
      <c r="M228" s="66">
        <v>0</v>
      </c>
      <c r="N228" s="66">
        <v>0</v>
      </c>
      <c r="O228" s="66">
        <v>0</v>
      </c>
      <c r="P228" s="66">
        <v>0</v>
      </c>
      <c r="Q228" s="66">
        <v>0</v>
      </c>
      <c r="R228" s="66">
        <v>0</v>
      </c>
      <c r="S228" s="66">
        <v>0</v>
      </c>
      <c r="T228" s="66">
        <v>0</v>
      </c>
      <c r="U228" s="66">
        <v>0</v>
      </c>
      <c r="V228" s="66">
        <v>0</v>
      </c>
      <c r="W228" s="66">
        <v>0</v>
      </c>
      <c r="X228" s="66">
        <v>0</v>
      </c>
      <c r="Y228" s="66">
        <v>0</v>
      </c>
      <c r="Z228" s="34"/>
      <c r="AA228" s="66">
        <v>0</v>
      </c>
      <c r="AB228" s="60">
        <v>0</v>
      </c>
      <c r="AC228" s="34"/>
      <c r="AD228" s="66">
        <v>0</v>
      </c>
      <c r="AE228" s="60">
        <v>0</v>
      </c>
    </row>
    <row r="229" spans="1:39" ht="18" customHeight="1" collapsed="1" x14ac:dyDescent="0.2">
      <c r="A229" s="35"/>
      <c r="B229" s="35"/>
      <c r="C229" s="4">
        <v>0</v>
      </c>
      <c r="D229" s="4">
        <v>0</v>
      </c>
      <c r="F229" s="106" t="s">
        <v>378</v>
      </c>
      <c r="H229" s="61">
        <v>0</v>
      </c>
      <c r="I229" s="61">
        <v>0</v>
      </c>
      <c r="J229" s="61">
        <v>0</v>
      </c>
      <c r="K229" s="86">
        <v>0</v>
      </c>
      <c r="L229" s="86">
        <v>0</v>
      </c>
      <c r="M229" s="61">
        <v>0</v>
      </c>
      <c r="N229" s="61">
        <v>0</v>
      </c>
      <c r="O229" s="61">
        <v>0</v>
      </c>
      <c r="P229" s="61">
        <v>0</v>
      </c>
      <c r="Q229" s="61">
        <v>0</v>
      </c>
      <c r="R229" s="61">
        <v>0</v>
      </c>
      <c r="S229" s="61">
        <v>0</v>
      </c>
      <c r="T229" s="61">
        <v>0</v>
      </c>
      <c r="U229" s="61">
        <v>0</v>
      </c>
      <c r="V229" s="61">
        <v>0</v>
      </c>
      <c r="W229" s="61">
        <v>0</v>
      </c>
      <c r="X229" s="61">
        <v>0</v>
      </c>
      <c r="Y229" s="61">
        <v>0</v>
      </c>
      <c r="AA229" s="61">
        <v>0</v>
      </c>
      <c r="AB229" s="60">
        <v>0</v>
      </c>
      <c r="AD229" s="61">
        <v>0</v>
      </c>
      <c r="AE229" s="60">
        <v>0</v>
      </c>
    </row>
    <row r="230" spans="1:39" ht="18" customHeight="1" x14ac:dyDescent="0.2">
      <c r="A230" s="30" t="s">
        <v>408</v>
      </c>
      <c r="B230" s="30" t="s">
        <v>22</v>
      </c>
      <c r="C230" s="4"/>
      <c r="D230" s="4"/>
      <c r="F230" s="106" t="s">
        <v>409</v>
      </c>
      <c r="H230" s="61">
        <v>0</v>
      </c>
      <c r="I230" s="61">
        <v>0</v>
      </c>
      <c r="J230" s="61">
        <v>0</v>
      </c>
      <c r="K230" s="86">
        <v>0</v>
      </c>
      <c r="L230" s="86">
        <v>0</v>
      </c>
      <c r="M230" s="61">
        <v>0</v>
      </c>
      <c r="N230" s="61">
        <v>0</v>
      </c>
      <c r="O230" s="61">
        <v>0</v>
      </c>
      <c r="P230" s="61">
        <v>0</v>
      </c>
      <c r="Q230" s="61">
        <v>0</v>
      </c>
      <c r="R230" s="61">
        <v>0</v>
      </c>
      <c r="S230" s="61">
        <v>0</v>
      </c>
      <c r="T230" s="61">
        <v>0</v>
      </c>
      <c r="U230" s="61">
        <v>0</v>
      </c>
      <c r="V230" s="61">
        <v>0</v>
      </c>
      <c r="W230" s="61">
        <v>0</v>
      </c>
      <c r="X230" s="61">
        <v>0</v>
      </c>
      <c r="Y230" s="61">
        <v>0</v>
      </c>
      <c r="AA230" s="61">
        <v>0</v>
      </c>
      <c r="AB230" s="60">
        <v>0</v>
      </c>
      <c r="AD230" s="61">
        <v>0</v>
      </c>
      <c r="AE230" s="60">
        <v>0</v>
      </c>
      <c r="AM230"/>
    </row>
    <row r="231" spans="1:39" ht="18" hidden="1" customHeight="1" outlineLevel="1" x14ac:dyDescent="0.2">
      <c r="A231" s="30" t="s">
        <v>148</v>
      </c>
      <c r="B231" s="30" t="s">
        <v>22</v>
      </c>
      <c r="C231" s="4">
        <v>0</v>
      </c>
      <c r="D231" s="4">
        <v>0</v>
      </c>
      <c r="F231" s="38" t="s">
        <v>149</v>
      </c>
      <c r="G231" s="34"/>
      <c r="H231" s="66">
        <v>0</v>
      </c>
      <c r="I231" s="66">
        <v>0</v>
      </c>
      <c r="J231" s="66">
        <v>0</v>
      </c>
      <c r="K231" s="86">
        <v>0</v>
      </c>
      <c r="L231" s="86">
        <v>0</v>
      </c>
      <c r="M231" s="66">
        <v>0</v>
      </c>
      <c r="N231" s="66">
        <v>0</v>
      </c>
      <c r="O231" s="66">
        <v>0</v>
      </c>
      <c r="P231" s="66">
        <v>0</v>
      </c>
      <c r="Q231" s="66">
        <v>0</v>
      </c>
      <c r="R231" s="66">
        <v>0</v>
      </c>
      <c r="S231" s="66">
        <v>0</v>
      </c>
      <c r="T231" s="66">
        <v>0</v>
      </c>
      <c r="U231" s="66">
        <v>0</v>
      </c>
      <c r="V231" s="66">
        <v>0</v>
      </c>
      <c r="W231" s="66">
        <v>0</v>
      </c>
      <c r="X231" s="66">
        <v>0</v>
      </c>
      <c r="Y231" s="66">
        <v>0</v>
      </c>
      <c r="Z231" s="34"/>
      <c r="AA231" s="66">
        <v>0</v>
      </c>
      <c r="AB231" s="60">
        <v>0</v>
      </c>
      <c r="AC231" s="34"/>
      <c r="AD231" s="66">
        <v>0</v>
      </c>
      <c r="AE231" s="60">
        <v>0</v>
      </c>
    </row>
    <row r="232" spans="1:39" ht="18" hidden="1" customHeight="1" outlineLevel="1" x14ac:dyDescent="0.2">
      <c r="A232" s="30" t="s">
        <v>158</v>
      </c>
      <c r="B232" s="30" t="s">
        <v>22</v>
      </c>
      <c r="C232" s="4">
        <v>0</v>
      </c>
      <c r="D232" s="4">
        <v>0</v>
      </c>
      <c r="F232" s="38" t="s">
        <v>159</v>
      </c>
      <c r="G232" s="34"/>
      <c r="H232" s="66">
        <v>0</v>
      </c>
      <c r="I232" s="66">
        <v>0</v>
      </c>
      <c r="J232" s="66">
        <v>0</v>
      </c>
      <c r="K232" s="86">
        <v>0</v>
      </c>
      <c r="L232" s="86">
        <v>0</v>
      </c>
      <c r="M232" s="66">
        <v>0</v>
      </c>
      <c r="N232" s="66">
        <v>0</v>
      </c>
      <c r="O232" s="66">
        <v>0</v>
      </c>
      <c r="P232" s="66">
        <v>0</v>
      </c>
      <c r="Q232" s="66">
        <v>0</v>
      </c>
      <c r="R232" s="66">
        <v>0</v>
      </c>
      <c r="S232" s="66">
        <v>0</v>
      </c>
      <c r="T232" s="66">
        <v>0</v>
      </c>
      <c r="U232" s="66">
        <v>0</v>
      </c>
      <c r="V232" s="66">
        <v>0</v>
      </c>
      <c r="W232" s="66">
        <v>0</v>
      </c>
      <c r="X232" s="66">
        <v>0</v>
      </c>
      <c r="Y232" s="66">
        <v>0</v>
      </c>
      <c r="Z232" s="34"/>
      <c r="AA232" s="66">
        <v>0</v>
      </c>
      <c r="AB232" s="60">
        <v>0</v>
      </c>
      <c r="AC232" s="34"/>
      <c r="AD232" s="66">
        <v>0</v>
      </c>
      <c r="AE232" s="60">
        <v>0</v>
      </c>
    </row>
    <row r="233" spans="1:39" ht="18" hidden="1" customHeight="1" outlineLevel="1" x14ac:dyDescent="0.2">
      <c r="A233" s="30" t="s">
        <v>152</v>
      </c>
      <c r="B233" s="30" t="s">
        <v>22</v>
      </c>
      <c r="C233" s="4">
        <v>0</v>
      </c>
      <c r="D233" s="4">
        <v>0</v>
      </c>
      <c r="F233" s="38" t="s">
        <v>153</v>
      </c>
      <c r="G233" s="34"/>
      <c r="H233" s="66">
        <v>0</v>
      </c>
      <c r="I233" s="66">
        <v>0</v>
      </c>
      <c r="J233" s="66">
        <v>0</v>
      </c>
      <c r="K233" s="86">
        <v>0</v>
      </c>
      <c r="L233" s="86">
        <v>0</v>
      </c>
      <c r="M233" s="66">
        <v>0</v>
      </c>
      <c r="N233" s="66">
        <v>0</v>
      </c>
      <c r="O233" s="66">
        <v>0</v>
      </c>
      <c r="P233" s="66">
        <v>0</v>
      </c>
      <c r="Q233" s="66">
        <v>0</v>
      </c>
      <c r="R233" s="66">
        <v>0</v>
      </c>
      <c r="S233" s="66">
        <v>0</v>
      </c>
      <c r="T233" s="66">
        <v>0</v>
      </c>
      <c r="U233" s="66">
        <v>0</v>
      </c>
      <c r="V233" s="66">
        <v>0</v>
      </c>
      <c r="W233" s="66">
        <v>0</v>
      </c>
      <c r="X233" s="66">
        <v>0</v>
      </c>
      <c r="Y233" s="66">
        <v>0</v>
      </c>
      <c r="Z233" s="34"/>
      <c r="AA233" s="66">
        <v>0</v>
      </c>
      <c r="AB233" s="60">
        <v>0</v>
      </c>
      <c r="AC233" s="34"/>
      <c r="AD233" s="66">
        <v>0</v>
      </c>
      <c r="AE233" s="60">
        <v>0</v>
      </c>
    </row>
    <row r="234" spans="1:39" ht="18" hidden="1" customHeight="1" outlineLevel="1" x14ac:dyDescent="0.2">
      <c r="A234" s="30" t="s">
        <v>269</v>
      </c>
      <c r="B234" s="30" t="s">
        <v>22</v>
      </c>
      <c r="C234" s="4">
        <v>0</v>
      </c>
      <c r="D234" s="4">
        <v>0</v>
      </c>
      <c r="F234" s="38" t="s">
        <v>271</v>
      </c>
      <c r="G234" s="34"/>
      <c r="H234" s="66">
        <v>0</v>
      </c>
      <c r="I234" s="66">
        <v>0</v>
      </c>
      <c r="J234" s="66">
        <v>0</v>
      </c>
      <c r="K234" s="86">
        <v>0</v>
      </c>
      <c r="L234" s="86">
        <v>0</v>
      </c>
      <c r="M234" s="66">
        <v>0</v>
      </c>
      <c r="N234" s="66">
        <v>0</v>
      </c>
      <c r="O234" s="66">
        <v>0</v>
      </c>
      <c r="P234" s="66">
        <v>0</v>
      </c>
      <c r="Q234" s="66">
        <v>0</v>
      </c>
      <c r="R234" s="66">
        <v>0</v>
      </c>
      <c r="S234" s="66">
        <v>0</v>
      </c>
      <c r="T234" s="66">
        <v>0</v>
      </c>
      <c r="U234" s="66">
        <v>0</v>
      </c>
      <c r="V234" s="66">
        <v>0</v>
      </c>
      <c r="W234" s="66">
        <v>0</v>
      </c>
      <c r="X234" s="66">
        <v>0</v>
      </c>
      <c r="Y234" s="66">
        <v>0</v>
      </c>
      <c r="Z234" s="34"/>
      <c r="AA234" s="66">
        <v>0</v>
      </c>
      <c r="AB234" s="60">
        <v>0</v>
      </c>
      <c r="AC234" s="34"/>
      <c r="AD234" s="66">
        <v>0</v>
      </c>
      <c r="AE234" s="60">
        <v>0</v>
      </c>
    </row>
    <row r="235" spans="1:39" ht="18" hidden="1" customHeight="1" outlineLevel="1" x14ac:dyDescent="0.2">
      <c r="A235" s="30" t="s">
        <v>270</v>
      </c>
      <c r="B235" s="30" t="s">
        <v>22</v>
      </c>
      <c r="C235" s="4">
        <v>0</v>
      </c>
      <c r="D235" s="4">
        <v>0</v>
      </c>
      <c r="F235" s="38" t="s">
        <v>272</v>
      </c>
      <c r="G235" s="34"/>
      <c r="H235" s="66">
        <v>0</v>
      </c>
      <c r="I235" s="66">
        <v>0</v>
      </c>
      <c r="J235" s="66">
        <v>0</v>
      </c>
      <c r="K235" s="86">
        <v>0</v>
      </c>
      <c r="L235" s="86">
        <v>0</v>
      </c>
      <c r="M235" s="66">
        <v>0</v>
      </c>
      <c r="N235" s="66">
        <v>0</v>
      </c>
      <c r="O235" s="66">
        <v>0</v>
      </c>
      <c r="P235" s="66">
        <v>0</v>
      </c>
      <c r="Q235" s="66">
        <v>0</v>
      </c>
      <c r="R235" s="66">
        <v>0</v>
      </c>
      <c r="S235" s="66">
        <v>0</v>
      </c>
      <c r="T235" s="66">
        <v>0</v>
      </c>
      <c r="U235" s="66">
        <v>0</v>
      </c>
      <c r="V235" s="66">
        <v>0</v>
      </c>
      <c r="W235" s="66">
        <v>0</v>
      </c>
      <c r="X235" s="66">
        <v>0</v>
      </c>
      <c r="Y235" s="66">
        <v>0</v>
      </c>
      <c r="Z235" s="34"/>
      <c r="AA235" s="66">
        <v>0</v>
      </c>
      <c r="AB235" s="60">
        <v>0</v>
      </c>
      <c r="AC235" s="34"/>
      <c r="AD235" s="66">
        <v>0</v>
      </c>
      <c r="AE235" s="60">
        <v>0</v>
      </c>
    </row>
    <row r="236" spans="1:39" ht="18" hidden="1" customHeight="1" outlineLevel="1" x14ac:dyDescent="0.2">
      <c r="A236" s="30" t="s">
        <v>162</v>
      </c>
      <c r="B236" s="30" t="s">
        <v>22</v>
      </c>
      <c r="C236" s="4">
        <v>0</v>
      </c>
      <c r="D236" s="4">
        <v>0</v>
      </c>
      <c r="F236" s="38" t="s">
        <v>163</v>
      </c>
      <c r="G236" s="34"/>
      <c r="H236" s="66">
        <v>0</v>
      </c>
      <c r="I236" s="66">
        <v>0</v>
      </c>
      <c r="J236" s="66">
        <v>0</v>
      </c>
      <c r="K236" s="86">
        <v>0</v>
      </c>
      <c r="L236" s="86">
        <v>0</v>
      </c>
      <c r="M236" s="66">
        <v>0</v>
      </c>
      <c r="N236" s="66">
        <v>0</v>
      </c>
      <c r="O236" s="66">
        <v>0</v>
      </c>
      <c r="P236" s="66">
        <v>0</v>
      </c>
      <c r="Q236" s="66">
        <v>0</v>
      </c>
      <c r="R236" s="66">
        <v>0</v>
      </c>
      <c r="S236" s="66">
        <v>0</v>
      </c>
      <c r="T236" s="66">
        <v>0</v>
      </c>
      <c r="U236" s="66">
        <v>0</v>
      </c>
      <c r="V236" s="66">
        <v>0</v>
      </c>
      <c r="W236" s="66">
        <v>0</v>
      </c>
      <c r="X236" s="66">
        <v>0</v>
      </c>
      <c r="Y236" s="66">
        <v>0</v>
      </c>
      <c r="Z236" s="34"/>
      <c r="AA236" s="66">
        <v>0</v>
      </c>
      <c r="AB236" s="60">
        <v>0</v>
      </c>
      <c r="AC236" s="34"/>
      <c r="AD236" s="66">
        <v>0</v>
      </c>
      <c r="AE236" s="60">
        <v>0</v>
      </c>
    </row>
    <row r="237" spans="1:39" ht="18" hidden="1" customHeight="1" outlineLevel="1" x14ac:dyDescent="0.2">
      <c r="A237" s="30" t="s">
        <v>164</v>
      </c>
      <c r="B237" s="30" t="s">
        <v>22</v>
      </c>
      <c r="C237" s="4">
        <v>0</v>
      </c>
      <c r="D237" s="4">
        <v>0</v>
      </c>
      <c r="F237" s="38" t="s">
        <v>165</v>
      </c>
      <c r="G237" s="34"/>
      <c r="H237" s="66">
        <v>0</v>
      </c>
      <c r="I237" s="66">
        <v>0</v>
      </c>
      <c r="J237" s="66">
        <v>0</v>
      </c>
      <c r="K237" s="86">
        <v>0</v>
      </c>
      <c r="L237" s="8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0</v>
      </c>
      <c r="R237" s="66">
        <v>0</v>
      </c>
      <c r="S237" s="66">
        <v>0</v>
      </c>
      <c r="T237" s="66">
        <v>0</v>
      </c>
      <c r="U237" s="66">
        <v>0</v>
      </c>
      <c r="V237" s="66">
        <v>0</v>
      </c>
      <c r="W237" s="66">
        <v>0</v>
      </c>
      <c r="X237" s="66">
        <v>0</v>
      </c>
      <c r="Y237" s="66">
        <v>0</v>
      </c>
      <c r="Z237" s="34"/>
      <c r="AA237" s="66">
        <v>0</v>
      </c>
      <c r="AB237" s="60">
        <v>0</v>
      </c>
      <c r="AC237" s="34"/>
      <c r="AD237" s="66">
        <v>0</v>
      </c>
      <c r="AE237" s="60">
        <v>0</v>
      </c>
    </row>
    <row r="238" spans="1:39" ht="18" hidden="1" customHeight="1" outlineLevel="1" x14ac:dyDescent="0.2">
      <c r="A238" s="30" t="s">
        <v>166</v>
      </c>
      <c r="B238" s="30" t="s">
        <v>22</v>
      </c>
      <c r="C238" s="4">
        <v>0</v>
      </c>
      <c r="D238" s="4">
        <v>0</v>
      </c>
      <c r="F238" s="38" t="s">
        <v>167</v>
      </c>
      <c r="G238" s="34"/>
      <c r="H238" s="66">
        <v>0</v>
      </c>
      <c r="I238" s="66">
        <v>0</v>
      </c>
      <c r="J238" s="66">
        <v>0</v>
      </c>
      <c r="K238" s="86">
        <v>0</v>
      </c>
      <c r="L238" s="86">
        <v>0</v>
      </c>
      <c r="M238" s="66">
        <v>0</v>
      </c>
      <c r="N238" s="66">
        <v>0</v>
      </c>
      <c r="O238" s="66">
        <v>0</v>
      </c>
      <c r="P238" s="66">
        <v>0</v>
      </c>
      <c r="Q238" s="66">
        <v>0</v>
      </c>
      <c r="R238" s="66">
        <v>0</v>
      </c>
      <c r="S238" s="66">
        <v>0</v>
      </c>
      <c r="T238" s="66">
        <v>0</v>
      </c>
      <c r="U238" s="66">
        <v>0</v>
      </c>
      <c r="V238" s="66">
        <v>0</v>
      </c>
      <c r="W238" s="66">
        <v>0</v>
      </c>
      <c r="X238" s="66">
        <v>0</v>
      </c>
      <c r="Y238" s="66">
        <v>0</v>
      </c>
      <c r="Z238" s="34"/>
      <c r="AA238" s="66">
        <v>0</v>
      </c>
      <c r="AB238" s="60">
        <v>0</v>
      </c>
      <c r="AC238" s="34"/>
      <c r="AD238" s="66">
        <v>0</v>
      </c>
      <c r="AE238" s="60">
        <v>0</v>
      </c>
    </row>
    <row r="239" spans="1:39" ht="18" customHeight="1" collapsed="1" x14ac:dyDescent="0.2">
      <c r="A239" s="35"/>
      <c r="B239" s="35"/>
      <c r="C239" s="4">
        <v>0</v>
      </c>
      <c r="D239" s="4">
        <v>0</v>
      </c>
      <c r="F239" s="106" t="s">
        <v>189</v>
      </c>
      <c r="H239" s="61">
        <v>0</v>
      </c>
      <c r="I239" s="61">
        <v>0</v>
      </c>
      <c r="J239" s="61">
        <v>0</v>
      </c>
      <c r="K239" s="86">
        <v>0</v>
      </c>
      <c r="L239" s="86">
        <v>0</v>
      </c>
      <c r="M239" s="61">
        <v>0</v>
      </c>
      <c r="N239" s="61">
        <v>0</v>
      </c>
      <c r="O239" s="61">
        <v>0</v>
      </c>
      <c r="P239" s="61">
        <v>0</v>
      </c>
      <c r="Q239" s="61">
        <v>0</v>
      </c>
      <c r="R239" s="61">
        <v>0</v>
      </c>
      <c r="S239" s="61">
        <v>0</v>
      </c>
      <c r="T239" s="61">
        <v>0</v>
      </c>
      <c r="U239" s="61">
        <v>0</v>
      </c>
      <c r="V239" s="61">
        <v>0</v>
      </c>
      <c r="W239" s="61">
        <v>0</v>
      </c>
      <c r="X239" s="61">
        <v>0</v>
      </c>
      <c r="Y239" s="61">
        <v>0</v>
      </c>
      <c r="AA239" s="61">
        <v>0</v>
      </c>
      <c r="AB239" s="60">
        <v>0</v>
      </c>
      <c r="AD239" s="61">
        <v>0</v>
      </c>
      <c r="AE239" s="60">
        <v>0</v>
      </c>
    </row>
    <row r="240" spans="1:39" ht="18" customHeight="1" x14ac:dyDescent="0.2">
      <c r="A240" s="35"/>
      <c r="B240" s="35"/>
      <c r="C240" s="4">
        <v>0</v>
      </c>
      <c r="D240" s="4">
        <v>0</v>
      </c>
      <c r="F240" s="95" t="s">
        <v>65</v>
      </c>
      <c r="H240" s="195">
        <v>0</v>
      </c>
      <c r="I240" s="195">
        <v>0</v>
      </c>
      <c r="J240" s="64">
        <v>0</v>
      </c>
      <c r="K240" s="89">
        <v>0</v>
      </c>
      <c r="L240" s="89">
        <v>0</v>
      </c>
      <c r="M240" s="64">
        <v>0</v>
      </c>
      <c r="N240" s="64">
        <v>0</v>
      </c>
      <c r="O240" s="64">
        <v>0</v>
      </c>
      <c r="P240" s="64">
        <v>0</v>
      </c>
      <c r="Q240" s="64">
        <v>0</v>
      </c>
      <c r="R240" s="64">
        <v>0</v>
      </c>
      <c r="S240" s="64">
        <v>0</v>
      </c>
      <c r="T240" s="64">
        <v>0</v>
      </c>
      <c r="U240" s="64">
        <v>0</v>
      </c>
      <c r="V240" s="64">
        <v>0</v>
      </c>
      <c r="W240" s="64">
        <v>0</v>
      </c>
      <c r="X240" s="64">
        <v>0</v>
      </c>
      <c r="Y240" s="64">
        <v>0</v>
      </c>
      <c r="AA240" s="64">
        <v>0</v>
      </c>
      <c r="AB240" s="60">
        <v>0</v>
      </c>
      <c r="AD240" s="64">
        <v>0</v>
      </c>
      <c r="AE240" s="60">
        <v>0</v>
      </c>
    </row>
    <row r="241" spans="1:31" ht="12.95" customHeight="1" x14ac:dyDescent="0.2">
      <c r="A241" s="35"/>
      <c r="B241" s="35"/>
      <c r="C241" s="4"/>
      <c r="D241" s="4"/>
      <c r="F241" s="39" t="s">
        <v>223</v>
      </c>
      <c r="H241" s="56" t="e">
        <v>#DIV/0!</v>
      </c>
      <c r="I241" s="56">
        <v>0</v>
      </c>
      <c r="J241" s="56">
        <v>0</v>
      </c>
      <c r="K241" s="109" t="e">
        <v>#DIV/0!</v>
      </c>
      <c r="L241" s="109" t="e">
        <v>#DIV/0!</v>
      </c>
      <c r="M241" s="56" t="e">
        <v>#DIV/0!</v>
      </c>
      <c r="N241" s="56" t="e">
        <v>#DIV/0!</v>
      </c>
      <c r="O241" s="56" t="e">
        <v>#DIV/0!</v>
      </c>
      <c r="P241" s="56" t="e">
        <v>#DIV/0!</v>
      </c>
      <c r="Q241" s="56" t="e">
        <v>#DIV/0!</v>
      </c>
      <c r="R241" s="56" t="e">
        <v>#DIV/0!</v>
      </c>
      <c r="S241" s="56" t="e">
        <v>#DIV/0!</v>
      </c>
      <c r="T241" s="56" t="e">
        <v>#DIV/0!</v>
      </c>
      <c r="U241" s="56" t="e">
        <v>#DIV/0!</v>
      </c>
      <c r="V241" s="56" t="e">
        <v>#DIV/0!</v>
      </c>
      <c r="W241" s="56" t="e">
        <v>#DIV/0!</v>
      </c>
      <c r="X241" s="56" t="e">
        <v>#DIV/0!</v>
      </c>
      <c r="Y241" s="56" t="e">
        <v>#DIV/0!</v>
      </c>
      <c r="AA241" s="56" t="e">
        <v>#DIV/0!</v>
      </c>
      <c r="AB241" s="57"/>
      <c r="AD241" s="56" t="e">
        <v>#DIV/0!</v>
      </c>
      <c r="AE241" s="57"/>
    </row>
    <row r="242" spans="1:31" ht="6.95" customHeight="1" x14ac:dyDescent="0.2">
      <c r="C242" s="4"/>
      <c r="D242" s="4"/>
      <c r="F242" s="96"/>
      <c r="H242" s="16"/>
      <c r="I242" s="16"/>
      <c r="J242" s="16"/>
      <c r="K242" s="85"/>
      <c r="L242" s="85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AA242" s="16"/>
      <c r="AB242" s="20"/>
      <c r="AD242" s="16"/>
      <c r="AE242" s="20"/>
    </row>
    <row r="243" spans="1:31" ht="18" hidden="1" customHeight="1" outlineLevel="1" collapsed="1" x14ac:dyDescent="0.2">
      <c r="A243" s="35"/>
      <c r="B243" s="35"/>
      <c r="C243" s="4"/>
      <c r="D243" s="4"/>
      <c r="F243" s="97" t="s">
        <v>249</v>
      </c>
      <c r="H243" s="74">
        <v>0</v>
      </c>
      <c r="I243" s="74">
        <v>0</v>
      </c>
      <c r="J243" s="74">
        <v>0</v>
      </c>
      <c r="K243" s="112">
        <v>0</v>
      </c>
      <c r="L243" s="112">
        <v>0</v>
      </c>
      <c r="M243" s="74">
        <v>0</v>
      </c>
      <c r="N243" s="74">
        <v>0</v>
      </c>
      <c r="O243" s="74">
        <v>0</v>
      </c>
      <c r="P243" s="74">
        <v>0</v>
      </c>
      <c r="Q243" s="74">
        <v>0</v>
      </c>
      <c r="R243" s="74">
        <v>0</v>
      </c>
      <c r="S243" s="74">
        <v>0</v>
      </c>
      <c r="T243" s="74">
        <v>0</v>
      </c>
      <c r="U243" s="74">
        <v>0</v>
      </c>
      <c r="V243" s="74">
        <v>0</v>
      </c>
      <c r="W243" s="74">
        <v>0</v>
      </c>
      <c r="X243" s="74">
        <v>0</v>
      </c>
      <c r="Y243" s="74">
        <v>0</v>
      </c>
      <c r="AA243" s="74">
        <v>0</v>
      </c>
      <c r="AB243" s="73">
        <v>0</v>
      </c>
      <c r="AD243" s="74">
        <v>0</v>
      </c>
      <c r="AE243" s="73">
        <v>0</v>
      </c>
    </row>
    <row r="244" spans="1:31" ht="18" hidden="1" customHeight="1" outlineLevel="1" x14ac:dyDescent="0.2">
      <c r="A244" s="30" t="s">
        <v>79</v>
      </c>
      <c r="B244" s="30" t="s">
        <v>22</v>
      </c>
      <c r="C244" s="4">
        <v>0</v>
      </c>
      <c r="D244" s="4">
        <v>0</v>
      </c>
      <c r="F244" s="106" t="s">
        <v>83</v>
      </c>
      <c r="H244" s="61">
        <v>0</v>
      </c>
      <c r="I244" s="61">
        <v>0</v>
      </c>
      <c r="J244" s="61">
        <v>0</v>
      </c>
      <c r="K244" s="86">
        <v>0</v>
      </c>
      <c r="L244" s="86">
        <v>0</v>
      </c>
      <c r="M244" s="61">
        <v>0</v>
      </c>
      <c r="N244" s="61">
        <v>0</v>
      </c>
      <c r="O244" s="61">
        <v>0</v>
      </c>
      <c r="P244" s="61">
        <v>0</v>
      </c>
      <c r="Q244" s="61">
        <v>0</v>
      </c>
      <c r="R244" s="61">
        <v>0</v>
      </c>
      <c r="S244" s="61">
        <v>0</v>
      </c>
      <c r="T244" s="61">
        <v>0</v>
      </c>
      <c r="U244" s="61">
        <v>0</v>
      </c>
      <c r="V244" s="61">
        <v>0</v>
      </c>
      <c r="W244" s="61">
        <v>0</v>
      </c>
      <c r="X244" s="61">
        <v>0</v>
      </c>
      <c r="Y244" s="61">
        <v>0</v>
      </c>
      <c r="AA244" s="61">
        <v>0</v>
      </c>
      <c r="AB244" s="60">
        <v>0</v>
      </c>
      <c r="AD244" s="61">
        <v>0</v>
      </c>
      <c r="AE244" s="60">
        <v>0</v>
      </c>
    </row>
    <row r="245" spans="1:31" ht="18" hidden="1" customHeight="1" outlineLevel="1" x14ac:dyDescent="0.2">
      <c r="A245" s="30" t="s">
        <v>80</v>
      </c>
      <c r="B245" s="30" t="s">
        <v>22</v>
      </c>
      <c r="C245" s="4">
        <v>0</v>
      </c>
      <c r="D245" s="4">
        <v>0</v>
      </c>
      <c r="F245" s="106" t="s">
        <v>84</v>
      </c>
      <c r="H245" s="61">
        <v>0</v>
      </c>
      <c r="I245" s="61">
        <v>0</v>
      </c>
      <c r="J245" s="61">
        <v>0</v>
      </c>
      <c r="K245" s="86">
        <v>0</v>
      </c>
      <c r="L245" s="86">
        <v>0</v>
      </c>
      <c r="M245" s="61">
        <v>0</v>
      </c>
      <c r="N245" s="61">
        <v>0</v>
      </c>
      <c r="O245" s="61">
        <v>0</v>
      </c>
      <c r="P245" s="61">
        <v>0</v>
      </c>
      <c r="Q245" s="61">
        <v>0</v>
      </c>
      <c r="R245" s="61">
        <v>0</v>
      </c>
      <c r="S245" s="61">
        <v>0</v>
      </c>
      <c r="T245" s="61">
        <v>0</v>
      </c>
      <c r="U245" s="61">
        <v>0</v>
      </c>
      <c r="V245" s="61">
        <v>0</v>
      </c>
      <c r="W245" s="61">
        <v>0</v>
      </c>
      <c r="X245" s="61">
        <v>0</v>
      </c>
      <c r="Y245" s="61">
        <v>0</v>
      </c>
      <c r="AA245" s="61">
        <v>0</v>
      </c>
      <c r="AB245" s="60">
        <v>0</v>
      </c>
      <c r="AD245" s="61">
        <v>0</v>
      </c>
      <c r="AE245" s="60">
        <v>0</v>
      </c>
    </row>
    <row r="246" spans="1:31" ht="18" hidden="1" customHeight="1" outlineLevel="1" x14ac:dyDescent="0.2">
      <c r="A246" s="30" t="s">
        <v>81</v>
      </c>
      <c r="B246" s="30" t="s">
        <v>22</v>
      </c>
      <c r="C246" s="4">
        <v>0</v>
      </c>
      <c r="D246" s="4">
        <v>0</v>
      </c>
      <c r="F246" s="106" t="s">
        <v>85</v>
      </c>
      <c r="H246" s="61">
        <v>0</v>
      </c>
      <c r="I246" s="61">
        <v>0</v>
      </c>
      <c r="J246" s="61">
        <v>0</v>
      </c>
      <c r="K246" s="86">
        <v>0</v>
      </c>
      <c r="L246" s="86">
        <v>0</v>
      </c>
      <c r="M246" s="61">
        <v>0</v>
      </c>
      <c r="N246" s="61">
        <v>0</v>
      </c>
      <c r="O246" s="61">
        <v>0</v>
      </c>
      <c r="P246" s="61">
        <v>0</v>
      </c>
      <c r="Q246" s="61">
        <v>0</v>
      </c>
      <c r="R246" s="61">
        <v>0</v>
      </c>
      <c r="S246" s="61">
        <v>0</v>
      </c>
      <c r="T246" s="61">
        <v>0</v>
      </c>
      <c r="U246" s="61">
        <v>0</v>
      </c>
      <c r="V246" s="61">
        <v>0</v>
      </c>
      <c r="W246" s="61">
        <v>0</v>
      </c>
      <c r="X246" s="61">
        <v>0</v>
      </c>
      <c r="Y246" s="61">
        <v>0</v>
      </c>
      <c r="AA246" s="61">
        <v>0</v>
      </c>
      <c r="AB246" s="60">
        <v>0</v>
      </c>
      <c r="AD246" s="61">
        <v>0</v>
      </c>
      <c r="AE246" s="60">
        <v>0</v>
      </c>
    </row>
    <row r="247" spans="1:31" ht="18" hidden="1" customHeight="1" outlineLevel="1" x14ac:dyDescent="0.2">
      <c r="A247" s="30" t="s">
        <v>140</v>
      </c>
      <c r="B247" s="30" t="s">
        <v>22</v>
      </c>
      <c r="C247" s="4">
        <v>0</v>
      </c>
      <c r="D247" s="4">
        <v>0</v>
      </c>
      <c r="F247" s="106" t="s">
        <v>141</v>
      </c>
      <c r="H247" s="61">
        <v>0</v>
      </c>
      <c r="I247" s="61">
        <v>0</v>
      </c>
      <c r="J247" s="61">
        <v>0</v>
      </c>
      <c r="K247" s="86">
        <v>0</v>
      </c>
      <c r="L247" s="86">
        <v>0</v>
      </c>
      <c r="M247" s="61">
        <v>0</v>
      </c>
      <c r="N247" s="61">
        <v>0</v>
      </c>
      <c r="O247" s="61">
        <v>0</v>
      </c>
      <c r="P247" s="61">
        <v>0</v>
      </c>
      <c r="Q247" s="61">
        <v>0</v>
      </c>
      <c r="R247" s="61">
        <v>0</v>
      </c>
      <c r="S247" s="61">
        <v>0</v>
      </c>
      <c r="T247" s="61">
        <v>0</v>
      </c>
      <c r="U247" s="61">
        <v>0</v>
      </c>
      <c r="V247" s="61">
        <v>0</v>
      </c>
      <c r="W247" s="61">
        <v>0</v>
      </c>
      <c r="X247" s="61">
        <v>0</v>
      </c>
      <c r="Y247" s="61">
        <v>0</v>
      </c>
      <c r="AA247" s="61">
        <v>0</v>
      </c>
      <c r="AB247" s="60">
        <v>0</v>
      </c>
      <c r="AD247" s="61">
        <v>0</v>
      </c>
      <c r="AE247" s="60">
        <v>0</v>
      </c>
    </row>
    <row r="248" spans="1:31" ht="18" hidden="1" customHeight="1" outlineLevel="1" x14ac:dyDescent="0.2">
      <c r="A248" s="30" t="s">
        <v>123</v>
      </c>
      <c r="B248" s="30" t="s">
        <v>22</v>
      </c>
      <c r="C248" s="4">
        <v>0</v>
      </c>
      <c r="D248" s="4">
        <v>0</v>
      </c>
      <c r="F248" s="106" t="s">
        <v>142</v>
      </c>
      <c r="H248" s="61">
        <v>0</v>
      </c>
      <c r="I248" s="61">
        <v>0</v>
      </c>
      <c r="J248" s="61">
        <v>0</v>
      </c>
      <c r="K248" s="86">
        <v>0</v>
      </c>
      <c r="L248" s="86">
        <v>0</v>
      </c>
      <c r="M248" s="61">
        <v>0</v>
      </c>
      <c r="N248" s="61">
        <v>0</v>
      </c>
      <c r="O248" s="61">
        <v>0</v>
      </c>
      <c r="P248" s="61">
        <v>0</v>
      </c>
      <c r="Q248" s="61">
        <v>0</v>
      </c>
      <c r="R248" s="61">
        <v>0</v>
      </c>
      <c r="S248" s="61">
        <v>0</v>
      </c>
      <c r="T248" s="61">
        <v>0</v>
      </c>
      <c r="U248" s="61">
        <v>0</v>
      </c>
      <c r="V248" s="61">
        <v>0</v>
      </c>
      <c r="W248" s="61">
        <v>0</v>
      </c>
      <c r="X248" s="61">
        <v>0</v>
      </c>
      <c r="Y248" s="61">
        <v>0</v>
      </c>
      <c r="AA248" s="61">
        <v>0</v>
      </c>
      <c r="AB248" s="60">
        <v>0</v>
      </c>
      <c r="AD248" s="61">
        <v>0</v>
      </c>
      <c r="AE248" s="60">
        <v>0</v>
      </c>
    </row>
    <row r="249" spans="1:31" ht="18" hidden="1" customHeight="1" outlineLevel="1" x14ac:dyDescent="0.2">
      <c r="A249" s="30" t="s">
        <v>124</v>
      </c>
      <c r="B249" s="30" t="s">
        <v>22</v>
      </c>
      <c r="C249" s="4">
        <v>0</v>
      </c>
      <c r="D249" s="4">
        <v>0</v>
      </c>
      <c r="F249" s="106" t="s">
        <v>143</v>
      </c>
      <c r="H249" s="61">
        <v>0</v>
      </c>
      <c r="I249" s="61">
        <v>0</v>
      </c>
      <c r="J249" s="61">
        <v>0</v>
      </c>
      <c r="K249" s="86">
        <v>0</v>
      </c>
      <c r="L249" s="86">
        <v>0</v>
      </c>
      <c r="M249" s="61">
        <v>0</v>
      </c>
      <c r="N249" s="61">
        <v>0</v>
      </c>
      <c r="O249" s="61">
        <v>0</v>
      </c>
      <c r="P249" s="61">
        <v>0</v>
      </c>
      <c r="Q249" s="61">
        <v>0</v>
      </c>
      <c r="R249" s="61">
        <v>0</v>
      </c>
      <c r="S249" s="61">
        <v>0</v>
      </c>
      <c r="T249" s="61">
        <v>0</v>
      </c>
      <c r="U249" s="61">
        <v>0</v>
      </c>
      <c r="V249" s="61">
        <v>0</v>
      </c>
      <c r="W249" s="61">
        <v>0</v>
      </c>
      <c r="X249" s="61">
        <v>0</v>
      </c>
      <c r="Y249" s="61">
        <v>0</v>
      </c>
      <c r="AA249" s="61">
        <v>0</v>
      </c>
      <c r="AB249" s="60">
        <v>0</v>
      </c>
      <c r="AD249" s="61">
        <v>0</v>
      </c>
      <c r="AE249" s="60">
        <v>0</v>
      </c>
    </row>
    <row r="250" spans="1:31" ht="18" hidden="1" customHeight="1" outlineLevel="1" x14ac:dyDescent="0.2">
      <c r="A250" s="30" t="s">
        <v>204</v>
      </c>
      <c r="B250" s="30" t="s">
        <v>22</v>
      </c>
      <c r="C250" s="4">
        <v>0</v>
      </c>
      <c r="D250" s="4">
        <v>0</v>
      </c>
      <c r="F250" s="104" t="s">
        <v>139</v>
      </c>
      <c r="G250" s="36"/>
      <c r="H250" s="65">
        <v>0</v>
      </c>
      <c r="I250" s="65">
        <v>0</v>
      </c>
      <c r="J250" s="65">
        <v>0</v>
      </c>
      <c r="K250" s="90">
        <v>0</v>
      </c>
      <c r="L250" s="90">
        <v>0</v>
      </c>
      <c r="M250" s="65">
        <v>0</v>
      </c>
      <c r="N250" s="65">
        <v>0</v>
      </c>
      <c r="O250" s="65">
        <v>0</v>
      </c>
      <c r="P250" s="65">
        <v>0</v>
      </c>
      <c r="Q250" s="65">
        <v>0</v>
      </c>
      <c r="R250" s="65">
        <v>0</v>
      </c>
      <c r="S250" s="65">
        <v>0</v>
      </c>
      <c r="T250" s="65">
        <v>0</v>
      </c>
      <c r="U250" s="65">
        <v>0</v>
      </c>
      <c r="V250" s="65">
        <v>0</v>
      </c>
      <c r="W250" s="65">
        <v>0</v>
      </c>
      <c r="X250" s="65">
        <v>0</v>
      </c>
      <c r="Y250" s="65">
        <v>0</v>
      </c>
      <c r="Z250" s="36"/>
      <c r="AA250" s="65">
        <v>0</v>
      </c>
      <c r="AB250" s="60">
        <v>0</v>
      </c>
      <c r="AC250" s="36"/>
      <c r="AD250" s="65">
        <v>0</v>
      </c>
      <c r="AE250" s="60">
        <v>0</v>
      </c>
    </row>
    <row r="251" spans="1:31" ht="18" hidden="1" customHeight="1" outlineLevel="1" x14ac:dyDescent="0.2">
      <c r="A251" s="30" t="s">
        <v>82</v>
      </c>
      <c r="B251" s="30" t="s">
        <v>22</v>
      </c>
      <c r="C251" s="4">
        <v>0</v>
      </c>
      <c r="D251" s="4">
        <v>0</v>
      </c>
      <c r="F251" s="106" t="s">
        <v>86</v>
      </c>
      <c r="H251" s="61">
        <v>0</v>
      </c>
      <c r="I251" s="61">
        <v>0</v>
      </c>
      <c r="J251" s="61">
        <v>0</v>
      </c>
      <c r="K251" s="86">
        <v>0</v>
      </c>
      <c r="L251" s="86">
        <v>0</v>
      </c>
      <c r="M251" s="61">
        <v>0</v>
      </c>
      <c r="N251" s="61">
        <v>0</v>
      </c>
      <c r="O251" s="61">
        <v>0</v>
      </c>
      <c r="P251" s="61">
        <v>0</v>
      </c>
      <c r="Q251" s="61">
        <v>0</v>
      </c>
      <c r="R251" s="61">
        <v>0</v>
      </c>
      <c r="S251" s="61">
        <v>0</v>
      </c>
      <c r="T251" s="61">
        <v>0</v>
      </c>
      <c r="U251" s="61">
        <v>0</v>
      </c>
      <c r="V251" s="61">
        <v>0</v>
      </c>
      <c r="W251" s="61">
        <v>0</v>
      </c>
      <c r="X251" s="61">
        <v>0</v>
      </c>
      <c r="Y251" s="61">
        <v>0</v>
      </c>
      <c r="AA251" s="61">
        <v>0</v>
      </c>
      <c r="AB251" s="60">
        <v>0</v>
      </c>
      <c r="AD251" s="61">
        <v>0</v>
      </c>
      <c r="AE251" s="60">
        <v>0</v>
      </c>
    </row>
    <row r="252" spans="1:31" ht="18" hidden="1" customHeight="1" outlineLevel="1" x14ac:dyDescent="0.2">
      <c r="A252" s="30" t="s">
        <v>144</v>
      </c>
      <c r="B252" s="30" t="s">
        <v>22</v>
      </c>
      <c r="C252" s="4">
        <v>0</v>
      </c>
      <c r="D252" s="4">
        <v>0</v>
      </c>
      <c r="F252" s="106" t="s">
        <v>145</v>
      </c>
      <c r="H252" s="61">
        <v>0</v>
      </c>
      <c r="I252" s="61">
        <v>0</v>
      </c>
      <c r="J252" s="61">
        <v>0</v>
      </c>
      <c r="K252" s="86">
        <v>0</v>
      </c>
      <c r="L252" s="86">
        <v>0</v>
      </c>
      <c r="M252" s="61">
        <v>0</v>
      </c>
      <c r="N252" s="61">
        <v>0</v>
      </c>
      <c r="O252" s="61">
        <v>0</v>
      </c>
      <c r="P252" s="61">
        <v>0</v>
      </c>
      <c r="Q252" s="61">
        <v>0</v>
      </c>
      <c r="R252" s="61">
        <v>0</v>
      </c>
      <c r="S252" s="61">
        <v>0</v>
      </c>
      <c r="T252" s="61">
        <v>0</v>
      </c>
      <c r="U252" s="61">
        <v>0</v>
      </c>
      <c r="V252" s="61">
        <v>0</v>
      </c>
      <c r="W252" s="61">
        <v>0</v>
      </c>
      <c r="X252" s="61">
        <v>0</v>
      </c>
      <c r="Y252" s="61">
        <v>0</v>
      </c>
      <c r="AA252" s="61">
        <v>0</v>
      </c>
      <c r="AB252" s="60">
        <v>0</v>
      </c>
      <c r="AD252" s="61">
        <v>0</v>
      </c>
      <c r="AE252" s="60">
        <v>0</v>
      </c>
    </row>
    <row r="253" spans="1:31" ht="18" customHeight="1" collapsed="1" x14ac:dyDescent="0.2">
      <c r="A253" s="35"/>
      <c r="B253" s="35"/>
      <c r="C253" s="4">
        <v>0</v>
      </c>
      <c r="D253" s="4">
        <v>0</v>
      </c>
      <c r="F253" s="95" t="s">
        <v>276</v>
      </c>
      <c r="H253" s="64">
        <v>0</v>
      </c>
      <c r="I253" s="64">
        <v>0</v>
      </c>
      <c r="J253" s="64">
        <v>0</v>
      </c>
      <c r="K253" s="89">
        <v>0</v>
      </c>
      <c r="L253" s="89">
        <v>0</v>
      </c>
      <c r="M253" s="64">
        <v>0</v>
      </c>
      <c r="N253" s="64">
        <v>0</v>
      </c>
      <c r="O253" s="64">
        <v>0</v>
      </c>
      <c r="P253" s="64">
        <v>0</v>
      </c>
      <c r="Q253" s="64">
        <v>0</v>
      </c>
      <c r="R253" s="64">
        <v>0</v>
      </c>
      <c r="S253" s="64">
        <v>0</v>
      </c>
      <c r="T253" s="64">
        <v>0</v>
      </c>
      <c r="U253" s="64">
        <v>0</v>
      </c>
      <c r="V253" s="64">
        <v>0</v>
      </c>
      <c r="W253" s="64">
        <v>0</v>
      </c>
      <c r="X253" s="64">
        <v>0</v>
      </c>
      <c r="Y253" s="64">
        <v>0</v>
      </c>
      <c r="AA253" s="64">
        <v>0</v>
      </c>
      <c r="AB253" s="60">
        <v>0</v>
      </c>
      <c r="AD253" s="64">
        <v>0</v>
      </c>
      <c r="AE253" s="60">
        <v>0</v>
      </c>
    </row>
    <row r="254" spans="1:31" ht="12.95" customHeight="1" x14ac:dyDescent="0.2">
      <c r="A254" s="35"/>
      <c r="B254" s="35"/>
      <c r="C254" s="4"/>
      <c r="D254" s="4"/>
      <c r="F254" s="39" t="s">
        <v>223</v>
      </c>
      <c r="H254" s="56" t="e">
        <v>#DIV/0!</v>
      </c>
      <c r="I254" s="56">
        <v>0</v>
      </c>
      <c r="J254" s="56">
        <v>0</v>
      </c>
      <c r="K254" s="109" t="e">
        <v>#DIV/0!</v>
      </c>
      <c r="L254" s="109" t="e">
        <v>#DIV/0!</v>
      </c>
      <c r="M254" s="56" t="e">
        <v>#DIV/0!</v>
      </c>
      <c r="N254" s="56" t="e">
        <v>#DIV/0!</v>
      </c>
      <c r="O254" s="56" t="e">
        <v>#DIV/0!</v>
      </c>
      <c r="P254" s="56" t="e">
        <v>#DIV/0!</v>
      </c>
      <c r="Q254" s="56" t="e">
        <v>#DIV/0!</v>
      </c>
      <c r="R254" s="56" t="e">
        <v>#DIV/0!</v>
      </c>
      <c r="S254" s="56" t="e">
        <v>#DIV/0!</v>
      </c>
      <c r="T254" s="56" t="e">
        <v>#DIV/0!</v>
      </c>
      <c r="U254" s="56" t="e">
        <v>#DIV/0!</v>
      </c>
      <c r="V254" s="56" t="e">
        <v>#DIV/0!</v>
      </c>
      <c r="W254" s="56" t="e">
        <v>#DIV/0!</v>
      </c>
      <c r="X254" s="56" t="e">
        <v>#DIV/0!</v>
      </c>
      <c r="Y254" s="56" t="e">
        <v>#DIV/0!</v>
      </c>
      <c r="AA254" s="56" t="e">
        <v>#DIV/0!</v>
      </c>
      <c r="AB254" s="57"/>
      <c r="AD254" s="56" t="e">
        <v>#DIV/0!</v>
      </c>
      <c r="AE254" s="57"/>
    </row>
    <row r="255" spans="1:31" ht="6.95" customHeight="1" x14ac:dyDescent="0.2">
      <c r="C255" s="4"/>
      <c r="D255" s="4"/>
      <c r="F255" s="96"/>
      <c r="H255" s="53"/>
      <c r="I255" s="53"/>
      <c r="J255" s="53"/>
      <c r="K255" s="115"/>
      <c r="L255" s="115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AA255" s="53"/>
      <c r="AD255" s="53"/>
    </row>
    <row r="256" spans="1:31" ht="18" customHeight="1" x14ac:dyDescent="0.2">
      <c r="A256" s="30" t="s">
        <v>73</v>
      </c>
      <c r="B256" s="30" t="s">
        <v>22</v>
      </c>
      <c r="C256" s="4">
        <v>0</v>
      </c>
      <c r="D256" s="4">
        <v>0</v>
      </c>
      <c r="F256" s="106" t="s">
        <v>72</v>
      </c>
      <c r="H256" s="61">
        <v>0</v>
      </c>
      <c r="I256" s="61">
        <v>0</v>
      </c>
      <c r="J256" s="61">
        <v>0</v>
      </c>
      <c r="K256" s="86">
        <v>0</v>
      </c>
      <c r="L256" s="86">
        <v>0</v>
      </c>
      <c r="M256" s="61">
        <v>0</v>
      </c>
      <c r="N256" s="61">
        <v>0</v>
      </c>
      <c r="O256" s="61">
        <v>0</v>
      </c>
      <c r="P256" s="61">
        <v>0</v>
      </c>
      <c r="Q256" s="61">
        <v>0</v>
      </c>
      <c r="R256" s="61">
        <v>0</v>
      </c>
      <c r="S256" s="61">
        <v>0</v>
      </c>
      <c r="T256" s="61">
        <v>0</v>
      </c>
      <c r="U256" s="61">
        <v>0</v>
      </c>
      <c r="V256" s="61">
        <v>0</v>
      </c>
      <c r="W256" s="61">
        <v>0</v>
      </c>
      <c r="X256" s="61">
        <v>0</v>
      </c>
      <c r="Y256" s="61">
        <v>0</v>
      </c>
      <c r="AA256" s="61">
        <v>0</v>
      </c>
      <c r="AB256" s="60">
        <v>0</v>
      </c>
      <c r="AD256" s="61">
        <v>0</v>
      </c>
      <c r="AE256" s="60">
        <v>0</v>
      </c>
    </row>
    <row r="257" spans="1:31" ht="18" customHeight="1" x14ac:dyDescent="0.2">
      <c r="A257" s="30" t="s">
        <v>129</v>
      </c>
      <c r="B257" s="30" t="s">
        <v>22</v>
      </c>
      <c r="C257" s="4">
        <v>0</v>
      </c>
      <c r="D257" s="4">
        <v>0</v>
      </c>
      <c r="F257" s="106" t="s">
        <v>190</v>
      </c>
      <c r="H257" s="61">
        <v>0</v>
      </c>
      <c r="I257" s="61">
        <v>0</v>
      </c>
      <c r="J257" s="61">
        <v>0</v>
      </c>
      <c r="K257" s="86">
        <v>0</v>
      </c>
      <c r="L257" s="86">
        <v>0</v>
      </c>
      <c r="M257" s="61">
        <v>0</v>
      </c>
      <c r="N257" s="61">
        <v>0</v>
      </c>
      <c r="O257" s="61">
        <v>0</v>
      </c>
      <c r="P257" s="61">
        <v>0</v>
      </c>
      <c r="Q257" s="61">
        <v>0</v>
      </c>
      <c r="R257" s="61">
        <v>0</v>
      </c>
      <c r="S257" s="61">
        <v>0</v>
      </c>
      <c r="T257" s="61">
        <v>0</v>
      </c>
      <c r="U257" s="61">
        <v>0</v>
      </c>
      <c r="V257" s="61">
        <v>0</v>
      </c>
      <c r="W257" s="61">
        <v>0</v>
      </c>
      <c r="X257" s="61">
        <v>0</v>
      </c>
      <c r="Y257" s="61">
        <v>0</v>
      </c>
      <c r="AA257" s="61">
        <v>0</v>
      </c>
      <c r="AB257" s="60">
        <v>0</v>
      </c>
      <c r="AD257" s="61">
        <v>0</v>
      </c>
      <c r="AE257" s="60">
        <v>0</v>
      </c>
    </row>
    <row r="258" spans="1:31" ht="18" customHeight="1" x14ac:dyDescent="0.2">
      <c r="A258" s="30" t="s">
        <v>78</v>
      </c>
      <c r="B258" s="30" t="s">
        <v>22</v>
      </c>
      <c r="C258" s="4">
        <v>0</v>
      </c>
      <c r="D258" s="4">
        <v>0</v>
      </c>
      <c r="F258" s="106" t="s">
        <v>77</v>
      </c>
      <c r="H258" s="61">
        <v>0</v>
      </c>
      <c r="I258" s="61">
        <v>0</v>
      </c>
      <c r="J258" s="61">
        <v>0</v>
      </c>
      <c r="K258" s="86">
        <v>0</v>
      </c>
      <c r="L258" s="86">
        <v>0</v>
      </c>
      <c r="M258" s="61">
        <v>0</v>
      </c>
      <c r="N258" s="61">
        <v>0</v>
      </c>
      <c r="O258" s="61">
        <v>0</v>
      </c>
      <c r="P258" s="61">
        <v>0</v>
      </c>
      <c r="Q258" s="61">
        <v>0</v>
      </c>
      <c r="R258" s="61">
        <v>0</v>
      </c>
      <c r="S258" s="61">
        <v>0</v>
      </c>
      <c r="T258" s="61">
        <v>0</v>
      </c>
      <c r="U258" s="61">
        <v>0</v>
      </c>
      <c r="V258" s="61">
        <v>0</v>
      </c>
      <c r="W258" s="61">
        <v>0</v>
      </c>
      <c r="X258" s="61">
        <v>0</v>
      </c>
      <c r="Y258" s="61">
        <v>0</v>
      </c>
      <c r="AA258" s="61">
        <v>0</v>
      </c>
      <c r="AB258" s="60">
        <v>0</v>
      </c>
      <c r="AD258" s="61">
        <v>0</v>
      </c>
      <c r="AE258" s="60">
        <v>0</v>
      </c>
    </row>
    <row r="259" spans="1:31" ht="18" customHeight="1" x14ac:dyDescent="0.2">
      <c r="A259" s="30" t="s">
        <v>75</v>
      </c>
      <c r="B259" s="30" t="s">
        <v>22</v>
      </c>
      <c r="C259" s="4">
        <v>0</v>
      </c>
      <c r="D259" s="4">
        <v>0</v>
      </c>
      <c r="F259" s="106" t="s">
        <v>76</v>
      </c>
      <c r="H259" s="61">
        <v>0</v>
      </c>
      <c r="I259" s="61">
        <v>0</v>
      </c>
      <c r="J259" s="61">
        <v>0</v>
      </c>
      <c r="K259" s="86">
        <v>0</v>
      </c>
      <c r="L259" s="86">
        <v>0</v>
      </c>
      <c r="M259" s="61">
        <v>0</v>
      </c>
      <c r="N259" s="61">
        <v>0</v>
      </c>
      <c r="O259" s="61">
        <v>0</v>
      </c>
      <c r="P259" s="61">
        <v>0</v>
      </c>
      <c r="Q259" s="61">
        <v>0</v>
      </c>
      <c r="R259" s="61">
        <v>0</v>
      </c>
      <c r="S259" s="61">
        <v>0</v>
      </c>
      <c r="T259" s="61">
        <v>0</v>
      </c>
      <c r="U259" s="61">
        <v>0</v>
      </c>
      <c r="V259" s="61">
        <v>0</v>
      </c>
      <c r="W259" s="61">
        <v>0</v>
      </c>
      <c r="X259" s="61">
        <v>0</v>
      </c>
      <c r="Y259" s="61">
        <v>0</v>
      </c>
      <c r="AA259" s="61">
        <v>0</v>
      </c>
      <c r="AB259" s="60">
        <v>0</v>
      </c>
      <c r="AD259" s="61">
        <v>0</v>
      </c>
      <c r="AE259" s="60">
        <v>0</v>
      </c>
    </row>
    <row r="260" spans="1:31" ht="18" customHeight="1" x14ac:dyDescent="0.2">
      <c r="A260" s="30" t="s">
        <v>181</v>
      </c>
      <c r="B260" s="30" t="s">
        <v>22</v>
      </c>
      <c r="C260" s="4">
        <v>0</v>
      </c>
      <c r="D260" s="4">
        <v>0</v>
      </c>
      <c r="F260" s="106" t="s">
        <v>182</v>
      </c>
      <c r="H260" s="61">
        <v>0</v>
      </c>
      <c r="I260" s="61">
        <v>0</v>
      </c>
      <c r="J260" s="61">
        <v>0</v>
      </c>
      <c r="K260" s="86">
        <v>0</v>
      </c>
      <c r="L260" s="86">
        <v>0</v>
      </c>
      <c r="M260" s="61">
        <v>0</v>
      </c>
      <c r="N260" s="61">
        <v>0</v>
      </c>
      <c r="O260" s="61">
        <v>0</v>
      </c>
      <c r="P260" s="61">
        <v>0</v>
      </c>
      <c r="Q260" s="61">
        <v>0</v>
      </c>
      <c r="R260" s="61">
        <v>0</v>
      </c>
      <c r="S260" s="61">
        <v>0</v>
      </c>
      <c r="T260" s="61">
        <v>0</v>
      </c>
      <c r="U260" s="61">
        <v>0</v>
      </c>
      <c r="V260" s="61">
        <v>0</v>
      </c>
      <c r="W260" s="61">
        <v>0</v>
      </c>
      <c r="X260" s="61">
        <v>0</v>
      </c>
      <c r="Y260" s="61">
        <v>0</v>
      </c>
      <c r="AA260" s="61">
        <v>0</v>
      </c>
      <c r="AB260" s="60">
        <v>0</v>
      </c>
      <c r="AD260" s="61">
        <v>0</v>
      </c>
      <c r="AE260" s="60">
        <v>0</v>
      </c>
    </row>
    <row r="261" spans="1:31" ht="18" customHeight="1" x14ac:dyDescent="0.2">
      <c r="A261" s="30" t="s">
        <v>90</v>
      </c>
      <c r="B261" s="30" t="s">
        <v>22</v>
      </c>
      <c r="C261" s="4">
        <v>0</v>
      </c>
      <c r="D261" s="4">
        <v>0</v>
      </c>
      <c r="F261" s="106" t="s">
        <v>95</v>
      </c>
      <c r="H261" s="61">
        <v>0</v>
      </c>
      <c r="I261" s="61">
        <v>0</v>
      </c>
      <c r="J261" s="61">
        <v>0</v>
      </c>
      <c r="K261" s="86">
        <v>0</v>
      </c>
      <c r="L261" s="86">
        <v>0</v>
      </c>
      <c r="M261" s="61">
        <v>0</v>
      </c>
      <c r="N261" s="61">
        <v>0</v>
      </c>
      <c r="O261" s="61">
        <v>0</v>
      </c>
      <c r="P261" s="61">
        <v>0</v>
      </c>
      <c r="Q261" s="61">
        <v>0</v>
      </c>
      <c r="R261" s="61">
        <v>0</v>
      </c>
      <c r="S261" s="61">
        <v>0</v>
      </c>
      <c r="T261" s="61">
        <v>0</v>
      </c>
      <c r="U261" s="61">
        <v>0</v>
      </c>
      <c r="V261" s="61">
        <v>0</v>
      </c>
      <c r="W261" s="61">
        <v>0</v>
      </c>
      <c r="X261" s="61">
        <v>0</v>
      </c>
      <c r="Y261" s="61">
        <v>0</v>
      </c>
      <c r="AA261" s="61">
        <v>0</v>
      </c>
      <c r="AB261" s="60">
        <v>0</v>
      </c>
      <c r="AD261" s="61">
        <v>0</v>
      </c>
      <c r="AE261" s="60">
        <v>0</v>
      </c>
    </row>
    <row r="262" spans="1:31" ht="18" customHeight="1" x14ac:dyDescent="0.2">
      <c r="A262" s="30" t="s">
        <v>91</v>
      </c>
      <c r="B262" s="30" t="s">
        <v>22</v>
      </c>
      <c r="C262" s="4">
        <v>0</v>
      </c>
      <c r="D262" s="4">
        <v>0</v>
      </c>
      <c r="F262" s="106" t="s">
        <v>96</v>
      </c>
      <c r="H262" s="61">
        <v>0</v>
      </c>
      <c r="I262" s="61">
        <v>0</v>
      </c>
      <c r="J262" s="61">
        <v>0</v>
      </c>
      <c r="K262" s="86">
        <v>0</v>
      </c>
      <c r="L262" s="86">
        <v>0</v>
      </c>
      <c r="M262" s="61">
        <v>0</v>
      </c>
      <c r="N262" s="61">
        <v>0</v>
      </c>
      <c r="O262" s="61">
        <v>0</v>
      </c>
      <c r="P262" s="61">
        <v>0</v>
      </c>
      <c r="Q262" s="61">
        <v>0</v>
      </c>
      <c r="R262" s="61">
        <v>0</v>
      </c>
      <c r="S262" s="61">
        <v>0</v>
      </c>
      <c r="T262" s="61">
        <v>0</v>
      </c>
      <c r="U262" s="61">
        <v>0</v>
      </c>
      <c r="V262" s="61">
        <v>0</v>
      </c>
      <c r="W262" s="61">
        <v>0</v>
      </c>
      <c r="X262" s="61">
        <v>0</v>
      </c>
      <c r="Y262" s="61">
        <v>0</v>
      </c>
      <c r="AA262" s="61">
        <v>0</v>
      </c>
      <c r="AB262" s="60">
        <v>0</v>
      </c>
      <c r="AD262" s="61">
        <v>0</v>
      </c>
      <c r="AE262" s="60">
        <v>0</v>
      </c>
    </row>
    <row r="263" spans="1:31" ht="18" customHeight="1" x14ac:dyDescent="0.2">
      <c r="A263" s="30" t="s">
        <v>74</v>
      </c>
      <c r="B263" s="30" t="s">
        <v>22</v>
      </c>
      <c r="C263" s="4">
        <v>-1.0101010101010102</v>
      </c>
      <c r="D263" s="4">
        <v>-1.0101010101010102</v>
      </c>
      <c r="F263" s="106" t="s">
        <v>97</v>
      </c>
      <c r="H263" s="61">
        <v>-0.221</v>
      </c>
      <c r="I263" s="61">
        <v>-0.193</v>
      </c>
      <c r="J263" s="61">
        <v>-0.193</v>
      </c>
      <c r="K263" s="86">
        <v>0</v>
      </c>
      <c r="L263" s="86">
        <v>0</v>
      </c>
      <c r="M263" s="61">
        <v>-1.7000000000000001E-2</v>
      </c>
      <c r="N263" s="61">
        <v>-1.6E-2</v>
      </c>
      <c r="O263" s="61">
        <v>-1.7000000000000001E-2</v>
      </c>
      <c r="P263" s="61">
        <v>-1.6E-2</v>
      </c>
      <c r="Q263" s="61">
        <v>-1.7000000000000001E-2</v>
      </c>
      <c r="R263" s="61">
        <v>-1.6E-2</v>
      </c>
      <c r="S263" s="61">
        <v>-1.7000000000000001E-2</v>
      </c>
      <c r="T263" s="61">
        <v>-1.6E-2</v>
      </c>
      <c r="U263" s="61">
        <v>-1.6999999999999987E-2</v>
      </c>
      <c r="V263" s="61">
        <v>-1.6000000000000014E-2</v>
      </c>
      <c r="W263" s="61">
        <v>-1.6999999999999987E-2</v>
      </c>
      <c r="X263" s="61">
        <v>-1.6000000000000014E-2</v>
      </c>
      <c r="Y263" s="61">
        <v>-0.19800000000000001</v>
      </c>
      <c r="AA263" s="61">
        <v>0</v>
      </c>
      <c r="AB263" s="60">
        <v>-0.2</v>
      </c>
      <c r="AD263" s="61">
        <v>0</v>
      </c>
      <c r="AE263" s="60">
        <v>-0.2</v>
      </c>
    </row>
    <row r="264" spans="1:31" s="253" customFormat="1" ht="18" customHeight="1" x14ac:dyDescent="0.2">
      <c r="A264" s="272" t="s">
        <v>447</v>
      </c>
      <c r="B264" s="254" t="s">
        <v>22</v>
      </c>
      <c r="C264" s="252">
        <v>0</v>
      </c>
      <c r="D264" s="252">
        <v>0</v>
      </c>
      <c r="F264" s="263" t="s">
        <v>446</v>
      </c>
      <c r="H264" s="257">
        <v>0</v>
      </c>
      <c r="I264" s="257">
        <v>0</v>
      </c>
      <c r="J264" s="257">
        <v>0</v>
      </c>
      <c r="K264" s="258">
        <v>0</v>
      </c>
      <c r="L264" s="258">
        <v>0</v>
      </c>
      <c r="M264" s="257">
        <v>0</v>
      </c>
      <c r="N264" s="257">
        <v>0</v>
      </c>
      <c r="O264" s="257">
        <v>0</v>
      </c>
      <c r="P264" s="257">
        <v>0</v>
      </c>
      <c r="Q264" s="257">
        <v>0</v>
      </c>
      <c r="R264" s="257">
        <v>0</v>
      </c>
      <c r="S264" s="257">
        <v>0</v>
      </c>
      <c r="T264" s="257">
        <v>0</v>
      </c>
      <c r="U264" s="257">
        <v>0</v>
      </c>
      <c r="V264" s="257">
        <v>0</v>
      </c>
      <c r="W264" s="257">
        <v>0</v>
      </c>
      <c r="X264" s="257">
        <v>0</v>
      </c>
      <c r="Y264" s="257">
        <v>0</v>
      </c>
      <c r="AA264" s="257">
        <v>0</v>
      </c>
      <c r="AB264" s="256">
        <v>0</v>
      </c>
      <c r="AD264" s="257">
        <v>0</v>
      </c>
      <c r="AE264" s="256">
        <v>0</v>
      </c>
    </row>
    <row r="265" spans="1:31" ht="18" customHeight="1" x14ac:dyDescent="0.2">
      <c r="A265" s="30" t="s">
        <v>197</v>
      </c>
      <c r="B265" s="30" t="s">
        <v>22</v>
      </c>
      <c r="C265" s="4">
        <v>0</v>
      </c>
      <c r="D265" s="4">
        <v>0</v>
      </c>
      <c r="F265" s="106" t="s">
        <v>198</v>
      </c>
      <c r="H265" s="61">
        <v>0</v>
      </c>
      <c r="I265" s="61">
        <v>0</v>
      </c>
      <c r="J265" s="61">
        <v>0</v>
      </c>
      <c r="K265" s="86">
        <v>0</v>
      </c>
      <c r="L265" s="86">
        <v>0</v>
      </c>
      <c r="M265" s="61">
        <v>0</v>
      </c>
      <c r="N265" s="61">
        <v>0</v>
      </c>
      <c r="O265" s="61">
        <v>0</v>
      </c>
      <c r="P265" s="61">
        <v>0</v>
      </c>
      <c r="Q265" s="61">
        <v>0</v>
      </c>
      <c r="R265" s="61">
        <v>0</v>
      </c>
      <c r="S265" s="61">
        <v>0</v>
      </c>
      <c r="T265" s="61">
        <v>0</v>
      </c>
      <c r="U265" s="61">
        <v>0</v>
      </c>
      <c r="V265" s="61">
        <v>0</v>
      </c>
      <c r="W265" s="61">
        <v>0</v>
      </c>
      <c r="X265" s="61">
        <v>0</v>
      </c>
      <c r="Y265" s="61">
        <v>0</v>
      </c>
      <c r="AA265" s="61">
        <v>0</v>
      </c>
      <c r="AB265" s="60">
        <v>0</v>
      </c>
      <c r="AD265" s="61">
        <v>0</v>
      </c>
      <c r="AE265" s="60">
        <v>0</v>
      </c>
    </row>
    <row r="266" spans="1:31" ht="18" customHeight="1" x14ac:dyDescent="0.2">
      <c r="A266" s="30" t="s">
        <v>92</v>
      </c>
      <c r="B266" s="30" t="s">
        <v>22</v>
      </c>
      <c r="C266" s="4">
        <v>0</v>
      </c>
      <c r="D266" s="4">
        <v>0</v>
      </c>
      <c r="F266" s="106" t="s">
        <v>98</v>
      </c>
      <c r="H266" s="61">
        <v>0</v>
      </c>
      <c r="I266" s="61">
        <v>0</v>
      </c>
      <c r="J266" s="61">
        <v>0</v>
      </c>
      <c r="K266" s="86">
        <v>0</v>
      </c>
      <c r="L266" s="86">
        <v>0</v>
      </c>
      <c r="M266" s="61">
        <v>0</v>
      </c>
      <c r="N266" s="61">
        <v>0</v>
      </c>
      <c r="O266" s="61">
        <v>0</v>
      </c>
      <c r="P266" s="61">
        <v>0</v>
      </c>
      <c r="Q266" s="61">
        <v>0</v>
      </c>
      <c r="R266" s="61">
        <v>0</v>
      </c>
      <c r="S266" s="61">
        <v>0</v>
      </c>
      <c r="T266" s="61">
        <v>0</v>
      </c>
      <c r="U266" s="61">
        <v>0</v>
      </c>
      <c r="V266" s="61">
        <v>0</v>
      </c>
      <c r="W266" s="61">
        <v>0</v>
      </c>
      <c r="X266" s="61">
        <v>0</v>
      </c>
      <c r="Y266" s="61">
        <v>0</v>
      </c>
      <c r="AA266" s="61">
        <v>0</v>
      </c>
      <c r="AB266" s="60">
        <v>0</v>
      </c>
      <c r="AD266" s="61">
        <v>0</v>
      </c>
      <c r="AE266" s="60">
        <v>0</v>
      </c>
    </row>
    <row r="267" spans="1:31" ht="18" hidden="1" customHeight="1" outlineLevel="1" x14ac:dyDescent="0.2">
      <c r="A267" s="30" t="s">
        <v>172</v>
      </c>
      <c r="B267" s="30" t="s">
        <v>22</v>
      </c>
      <c r="C267" s="4">
        <v>0</v>
      </c>
      <c r="D267" s="4">
        <v>0</v>
      </c>
      <c r="F267" s="38" t="s">
        <v>173</v>
      </c>
      <c r="G267" s="34"/>
      <c r="H267" s="66">
        <v>0</v>
      </c>
      <c r="I267" s="66">
        <v>0</v>
      </c>
      <c r="J267" s="66">
        <v>0</v>
      </c>
      <c r="K267" s="86">
        <v>0</v>
      </c>
      <c r="L267" s="86">
        <v>0</v>
      </c>
      <c r="M267" s="66">
        <v>0</v>
      </c>
      <c r="N267" s="66">
        <v>0</v>
      </c>
      <c r="O267" s="66">
        <v>0</v>
      </c>
      <c r="P267" s="66">
        <v>0</v>
      </c>
      <c r="Q267" s="66">
        <v>0</v>
      </c>
      <c r="R267" s="66">
        <v>0</v>
      </c>
      <c r="S267" s="66">
        <v>0</v>
      </c>
      <c r="T267" s="66">
        <v>0</v>
      </c>
      <c r="U267" s="66">
        <v>0</v>
      </c>
      <c r="V267" s="66">
        <v>0</v>
      </c>
      <c r="W267" s="66">
        <v>0</v>
      </c>
      <c r="X267" s="66">
        <v>0</v>
      </c>
      <c r="Y267" s="66">
        <v>0</v>
      </c>
      <c r="Z267" s="34"/>
      <c r="AA267" s="66">
        <v>0</v>
      </c>
      <c r="AB267" s="60">
        <v>0</v>
      </c>
      <c r="AC267" s="34"/>
      <c r="AD267" s="66">
        <v>0</v>
      </c>
      <c r="AE267" s="60">
        <v>0</v>
      </c>
    </row>
    <row r="268" spans="1:31" ht="18" hidden="1" customHeight="1" outlineLevel="1" x14ac:dyDescent="0.2">
      <c r="A268" s="30" t="s">
        <v>88</v>
      </c>
      <c r="B268" s="30" t="s">
        <v>22</v>
      </c>
      <c r="C268" s="4">
        <v>0</v>
      </c>
      <c r="D268" s="4">
        <v>0</v>
      </c>
      <c r="F268" s="38" t="s">
        <v>93</v>
      </c>
      <c r="G268" s="34"/>
      <c r="H268" s="66">
        <v>0</v>
      </c>
      <c r="I268" s="66">
        <v>0</v>
      </c>
      <c r="J268" s="66">
        <v>0</v>
      </c>
      <c r="K268" s="86">
        <v>0</v>
      </c>
      <c r="L268" s="86">
        <v>0</v>
      </c>
      <c r="M268" s="66">
        <v>0</v>
      </c>
      <c r="N268" s="66">
        <v>0</v>
      </c>
      <c r="O268" s="66">
        <v>0</v>
      </c>
      <c r="P268" s="66">
        <v>0</v>
      </c>
      <c r="Q268" s="66">
        <v>0</v>
      </c>
      <c r="R268" s="66">
        <v>0</v>
      </c>
      <c r="S268" s="66">
        <v>0</v>
      </c>
      <c r="T268" s="66">
        <v>0</v>
      </c>
      <c r="U268" s="66">
        <v>0</v>
      </c>
      <c r="V268" s="66">
        <v>0</v>
      </c>
      <c r="W268" s="66">
        <v>0</v>
      </c>
      <c r="X268" s="66">
        <v>0</v>
      </c>
      <c r="Y268" s="66">
        <v>0</v>
      </c>
      <c r="Z268" s="34"/>
      <c r="AA268" s="66">
        <v>0</v>
      </c>
      <c r="AB268" s="60">
        <v>0</v>
      </c>
      <c r="AC268" s="34"/>
      <c r="AD268" s="66">
        <v>0</v>
      </c>
      <c r="AE268" s="60">
        <v>0</v>
      </c>
    </row>
    <row r="269" spans="1:31" ht="18" hidden="1" customHeight="1" outlineLevel="1" x14ac:dyDescent="0.2">
      <c r="A269" s="30" t="s">
        <v>174</v>
      </c>
      <c r="B269" s="30" t="s">
        <v>22</v>
      </c>
      <c r="C269" s="4">
        <v>0</v>
      </c>
      <c r="D269" s="4">
        <v>0</v>
      </c>
      <c r="F269" s="38" t="s">
        <v>175</v>
      </c>
      <c r="G269" s="34"/>
      <c r="H269" s="66">
        <v>0</v>
      </c>
      <c r="I269" s="66">
        <v>0</v>
      </c>
      <c r="J269" s="66">
        <v>0</v>
      </c>
      <c r="K269" s="86">
        <v>0</v>
      </c>
      <c r="L269" s="86">
        <v>0</v>
      </c>
      <c r="M269" s="66">
        <v>0</v>
      </c>
      <c r="N269" s="66">
        <v>0</v>
      </c>
      <c r="O269" s="66">
        <v>0</v>
      </c>
      <c r="P269" s="66">
        <v>0</v>
      </c>
      <c r="Q269" s="66">
        <v>0</v>
      </c>
      <c r="R269" s="66">
        <v>0</v>
      </c>
      <c r="S269" s="66">
        <v>0</v>
      </c>
      <c r="T269" s="66">
        <v>0</v>
      </c>
      <c r="U269" s="66">
        <v>0</v>
      </c>
      <c r="V269" s="66">
        <v>0</v>
      </c>
      <c r="W269" s="66">
        <v>0</v>
      </c>
      <c r="X269" s="66">
        <v>0</v>
      </c>
      <c r="Y269" s="66">
        <v>0</v>
      </c>
      <c r="Z269" s="34"/>
      <c r="AA269" s="66">
        <v>0</v>
      </c>
      <c r="AB269" s="60">
        <v>0</v>
      </c>
      <c r="AC269" s="34"/>
      <c r="AD269" s="66">
        <v>0</v>
      </c>
      <c r="AE269" s="60">
        <v>0</v>
      </c>
    </row>
    <row r="270" spans="1:31" ht="18" hidden="1" customHeight="1" outlineLevel="1" x14ac:dyDescent="0.2">
      <c r="A270" s="30" t="s">
        <v>191</v>
      </c>
      <c r="B270" s="30" t="s">
        <v>22</v>
      </c>
      <c r="C270" s="4">
        <v>0</v>
      </c>
      <c r="D270" s="4">
        <v>0</v>
      </c>
      <c r="F270" s="38" t="s">
        <v>192</v>
      </c>
      <c r="G270" s="34"/>
      <c r="H270" s="66">
        <v>0</v>
      </c>
      <c r="I270" s="66">
        <v>0</v>
      </c>
      <c r="J270" s="66">
        <v>0</v>
      </c>
      <c r="K270" s="86">
        <v>0</v>
      </c>
      <c r="L270" s="86">
        <v>0</v>
      </c>
      <c r="M270" s="66">
        <v>0</v>
      </c>
      <c r="N270" s="66">
        <v>0</v>
      </c>
      <c r="O270" s="66">
        <v>0</v>
      </c>
      <c r="P270" s="66">
        <v>0</v>
      </c>
      <c r="Q270" s="66">
        <v>0</v>
      </c>
      <c r="R270" s="66">
        <v>0</v>
      </c>
      <c r="S270" s="66">
        <v>0</v>
      </c>
      <c r="T270" s="66">
        <v>0</v>
      </c>
      <c r="U270" s="66">
        <v>0</v>
      </c>
      <c r="V270" s="66">
        <v>0</v>
      </c>
      <c r="W270" s="66">
        <v>0</v>
      </c>
      <c r="X270" s="66">
        <v>0</v>
      </c>
      <c r="Y270" s="66">
        <v>0</v>
      </c>
      <c r="Z270" s="34"/>
      <c r="AA270" s="66">
        <v>0</v>
      </c>
      <c r="AB270" s="60">
        <v>0</v>
      </c>
      <c r="AC270" s="34"/>
      <c r="AD270" s="66">
        <v>0</v>
      </c>
      <c r="AE270" s="60">
        <v>0</v>
      </c>
    </row>
    <row r="271" spans="1:31" ht="18" hidden="1" customHeight="1" outlineLevel="1" x14ac:dyDescent="0.2">
      <c r="A271" s="30" t="s">
        <v>130</v>
      </c>
      <c r="B271" s="30" t="s">
        <v>22</v>
      </c>
      <c r="C271" s="4">
        <v>0</v>
      </c>
      <c r="D271" s="4">
        <v>0</v>
      </c>
      <c r="F271" s="38" t="s">
        <v>176</v>
      </c>
      <c r="G271" s="34"/>
      <c r="H271" s="66">
        <v>0</v>
      </c>
      <c r="I271" s="66">
        <v>0</v>
      </c>
      <c r="J271" s="66">
        <v>0</v>
      </c>
      <c r="K271" s="86">
        <v>0</v>
      </c>
      <c r="L271" s="86">
        <v>0</v>
      </c>
      <c r="M271" s="66">
        <v>0</v>
      </c>
      <c r="N271" s="66">
        <v>0</v>
      </c>
      <c r="O271" s="66">
        <v>0</v>
      </c>
      <c r="P271" s="66">
        <v>0</v>
      </c>
      <c r="Q271" s="66">
        <v>0</v>
      </c>
      <c r="R271" s="66">
        <v>0</v>
      </c>
      <c r="S271" s="66">
        <v>0</v>
      </c>
      <c r="T271" s="66">
        <v>0</v>
      </c>
      <c r="U271" s="66">
        <v>0</v>
      </c>
      <c r="V271" s="66">
        <v>0</v>
      </c>
      <c r="W271" s="66">
        <v>0</v>
      </c>
      <c r="X271" s="66">
        <v>0</v>
      </c>
      <c r="Y271" s="66">
        <v>0</v>
      </c>
      <c r="Z271" s="34"/>
      <c r="AA271" s="66">
        <v>0</v>
      </c>
      <c r="AB271" s="60">
        <v>0</v>
      </c>
      <c r="AC271" s="34"/>
      <c r="AD271" s="66">
        <v>0</v>
      </c>
      <c r="AE271" s="60">
        <v>0</v>
      </c>
    </row>
    <row r="272" spans="1:31" ht="18" hidden="1" customHeight="1" outlineLevel="1" x14ac:dyDescent="0.2">
      <c r="A272" s="30" t="s">
        <v>177</v>
      </c>
      <c r="B272" s="30" t="s">
        <v>22</v>
      </c>
      <c r="C272" s="4">
        <v>0</v>
      </c>
      <c r="D272" s="4">
        <v>0</v>
      </c>
      <c r="F272" s="38" t="s">
        <v>178</v>
      </c>
      <c r="G272" s="34"/>
      <c r="H272" s="66">
        <v>0</v>
      </c>
      <c r="I272" s="66">
        <v>0</v>
      </c>
      <c r="J272" s="66">
        <v>0</v>
      </c>
      <c r="K272" s="86">
        <v>0</v>
      </c>
      <c r="L272" s="86">
        <v>0</v>
      </c>
      <c r="M272" s="66">
        <v>0</v>
      </c>
      <c r="N272" s="66">
        <v>0</v>
      </c>
      <c r="O272" s="66">
        <v>0</v>
      </c>
      <c r="P272" s="66">
        <v>0</v>
      </c>
      <c r="Q272" s="66">
        <v>0</v>
      </c>
      <c r="R272" s="66">
        <v>0</v>
      </c>
      <c r="S272" s="66">
        <v>0</v>
      </c>
      <c r="T272" s="66">
        <v>0</v>
      </c>
      <c r="U272" s="66">
        <v>0</v>
      </c>
      <c r="V272" s="66">
        <v>0</v>
      </c>
      <c r="W272" s="66">
        <v>0</v>
      </c>
      <c r="X272" s="66">
        <v>0</v>
      </c>
      <c r="Y272" s="66">
        <v>0</v>
      </c>
      <c r="Z272" s="34"/>
      <c r="AA272" s="66">
        <v>0</v>
      </c>
      <c r="AB272" s="60">
        <v>0</v>
      </c>
      <c r="AC272" s="34"/>
      <c r="AD272" s="66">
        <v>0</v>
      </c>
      <c r="AE272" s="60">
        <v>0</v>
      </c>
    </row>
    <row r="273" spans="1:31" ht="18" hidden="1" customHeight="1" outlineLevel="1" x14ac:dyDescent="0.2">
      <c r="A273" s="30" t="s">
        <v>179</v>
      </c>
      <c r="B273" s="30" t="s">
        <v>22</v>
      </c>
      <c r="C273" s="4">
        <v>0</v>
      </c>
      <c r="D273" s="4">
        <v>0</v>
      </c>
      <c r="F273" s="38" t="s">
        <v>180</v>
      </c>
      <c r="G273" s="34"/>
      <c r="H273" s="66">
        <v>0</v>
      </c>
      <c r="I273" s="66">
        <v>0</v>
      </c>
      <c r="J273" s="66">
        <v>0</v>
      </c>
      <c r="K273" s="86">
        <v>0</v>
      </c>
      <c r="L273" s="86">
        <v>0</v>
      </c>
      <c r="M273" s="66">
        <v>0</v>
      </c>
      <c r="N273" s="66">
        <v>0</v>
      </c>
      <c r="O273" s="66">
        <v>0</v>
      </c>
      <c r="P273" s="66">
        <v>0</v>
      </c>
      <c r="Q273" s="66">
        <v>0</v>
      </c>
      <c r="R273" s="66">
        <v>0</v>
      </c>
      <c r="S273" s="66">
        <v>0</v>
      </c>
      <c r="T273" s="66">
        <v>0</v>
      </c>
      <c r="U273" s="66">
        <v>0</v>
      </c>
      <c r="V273" s="66">
        <v>0</v>
      </c>
      <c r="W273" s="66">
        <v>0</v>
      </c>
      <c r="X273" s="66">
        <v>0</v>
      </c>
      <c r="Y273" s="66">
        <v>0</v>
      </c>
      <c r="Z273" s="34"/>
      <c r="AA273" s="66">
        <v>0</v>
      </c>
      <c r="AB273" s="60">
        <v>0</v>
      </c>
      <c r="AC273" s="34"/>
      <c r="AD273" s="66">
        <v>0</v>
      </c>
      <c r="AE273" s="60">
        <v>0</v>
      </c>
    </row>
    <row r="274" spans="1:31" ht="18" hidden="1" customHeight="1" outlineLevel="1" x14ac:dyDescent="0.2">
      <c r="A274" s="30" t="s">
        <v>89</v>
      </c>
      <c r="B274" s="30" t="s">
        <v>22</v>
      </c>
      <c r="C274" s="4">
        <v>0</v>
      </c>
      <c r="D274" s="4">
        <v>0</v>
      </c>
      <c r="F274" s="38" t="s">
        <v>187</v>
      </c>
      <c r="G274" s="34"/>
      <c r="H274" s="66">
        <v>0</v>
      </c>
      <c r="I274" s="66">
        <v>0</v>
      </c>
      <c r="J274" s="66">
        <v>0</v>
      </c>
      <c r="K274" s="86">
        <v>0</v>
      </c>
      <c r="L274" s="86">
        <v>0</v>
      </c>
      <c r="M274" s="66">
        <v>0</v>
      </c>
      <c r="N274" s="66">
        <v>0</v>
      </c>
      <c r="O274" s="66">
        <v>0</v>
      </c>
      <c r="P274" s="66">
        <v>0</v>
      </c>
      <c r="Q274" s="66">
        <v>0</v>
      </c>
      <c r="R274" s="66">
        <v>0</v>
      </c>
      <c r="S274" s="66">
        <v>0</v>
      </c>
      <c r="T274" s="66">
        <v>0</v>
      </c>
      <c r="U274" s="66">
        <v>0</v>
      </c>
      <c r="V274" s="66">
        <v>0</v>
      </c>
      <c r="W274" s="66">
        <v>0</v>
      </c>
      <c r="X274" s="66">
        <v>0</v>
      </c>
      <c r="Y274" s="66">
        <v>0</v>
      </c>
      <c r="Z274" s="34"/>
      <c r="AA274" s="66">
        <v>0</v>
      </c>
      <c r="AB274" s="60">
        <v>0</v>
      </c>
      <c r="AC274" s="34"/>
      <c r="AD274" s="66">
        <v>0</v>
      </c>
      <c r="AE274" s="60">
        <v>0</v>
      </c>
    </row>
    <row r="275" spans="1:31" ht="18" hidden="1" customHeight="1" outlineLevel="1" x14ac:dyDescent="0.2">
      <c r="A275" s="30" t="s">
        <v>193</v>
      </c>
      <c r="B275" s="30" t="s">
        <v>22</v>
      </c>
      <c r="C275" s="4">
        <v>0</v>
      </c>
      <c r="D275" s="4">
        <v>0</v>
      </c>
      <c r="F275" s="38" t="s">
        <v>194</v>
      </c>
      <c r="G275" s="34"/>
      <c r="H275" s="66">
        <v>0</v>
      </c>
      <c r="I275" s="66">
        <v>0</v>
      </c>
      <c r="J275" s="66">
        <v>0</v>
      </c>
      <c r="K275" s="86">
        <v>0</v>
      </c>
      <c r="L275" s="86">
        <v>0</v>
      </c>
      <c r="M275" s="66">
        <v>0</v>
      </c>
      <c r="N275" s="66">
        <v>0</v>
      </c>
      <c r="O275" s="66">
        <v>0</v>
      </c>
      <c r="P275" s="66">
        <v>0</v>
      </c>
      <c r="Q275" s="66">
        <v>0</v>
      </c>
      <c r="R275" s="66">
        <v>0</v>
      </c>
      <c r="S275" s="66">
        <v>0</v>
      </c>
      <c r="T275" s="66">
        <v>0</v>
      </c>
      <c r="U275" s="66">
        <v>0</v>
      </c>
      <c r="V275" s="66">
        <v>0</v>
      </c>
      <c r="W275" s="66">
        <v>0</v>
      </c>
      <c r="X275" s="66">
        <v>0</v>
      </c>
      <c r="Y275" s="66">
        <v>0</v>
      </c>
      <c r="Z275" s="34"/>
      <c r="AA275" s="66">
        <v>0</v>
      </c>
      <c r="AB275" s="60">
        <v>0</v>
      </c>
      <c r="AC275" s="34"/>
      <c r="AD275" s="66">
        <v>0</v>
      </c>
      <c r="AE275" s="60">
        <v>0</v>
      </c>
    </row>
    <row r="276" spans="1:31" ht="18" hidden="1" customHeight="1" outlineLevel="1" x14ac:dyDescent="0.2">
      <c r="A276" s="30" t="s">
        <v>127</v>
      </c>
      <c r="B276" s="30" t="s">
        <v>22</v>
      </c>
      <c r="C276" s="4">
        <v>0</v>
      </c>
      <c r="D276" s="4">
        <v>0</v>
      </c>
      <c r="F276" s="38" t="s">
        <v>128</v>
      </c>
      <c r="G276" s="34"/>
      <c r="H276" s="66">
        <v>0</v>
      </c>
      <c r="I276" s="66">
        <v>0</v>
      </c>
      <c r="J276" s="66">
        <v>0</v>
      </c>
      <c r="K276" s="86">
        <v>0</v>
      </c>
      <c r="L276" s="86">
        <v>0</v>
      </c>
      <c r="M276" s="66">
        <v>0</v>
      </c>
      <c r="N276" s="66">
        <v>0</v>
      </c>
      <c r="O276" s="66">
        <v>0</v>
      </c>
      <c r="P276" s="66">
        <v>0</v>
      </c>
      <c r="Q276" s="66">
        <v>0</v>
      </c>
      <c r="R276" s="66">
        <v>0</v>
      </c>
      <c r="S276" s="66">
        <v>0</v>
      </c>
      <c r="T276" s="66">
        <v>0</v>
      </c>
      <c r="U276" s="66">
        <v>0</v>
      </c>
      <c r="V276" s="66">
        <v>0</v>
      </c>
      <c r="W276" s="66">
        <v>0</v>
      </c>
      <c r="X276" s="66">
        <v>0</v>
      </c>
      <c r="Y276" s="66">
        <v>0</v>
      </c>
      <c r="Z276" s="34"/>
      <c r="AA276" s="66">
        <v>0</v>
      </c>
      <c r="AB276" s="60">
        <v>0</v>
      </c>
      <c r="AC276" s="34"/>
      <c r="AD276" s="66">
        <v>0</v>
      </c>
      <c r="AE276" s="60">
        <v>0</v>
      </c>
    </row>
    <row r="277" spans="1:31" ht="18" hidden="1" customHeight="1" outlineLevel="1" x14ac:dyDescent="0.2">
      <c r="A277" s="30" t="s">
        <v>261</v>
      </c>
      <c r="B277" s="30" t="s">
        <v>22</v>
      </c>
      <c r="C277" s="4">
        <v>0</v>
      </c>
      <c r="D277" s="4">
        <v>0</v>
      </c>
      <c r="F277" s="38" t="s">
        <v>262</v>
      </c>
      <c r="G277" s="34"/>
      <c r="H277" s="66">
        <v>0</v>
      </c>
      <c r="I277" s="66">
        <v>0</v>
      </c>
      <c r="J277" s="66">
        <v>0</v>
      </c>
      <c r="K277" s="86">
        <v>0</v>
      </c>
      <c r="L277" s="86">
        <v>0</v>
      </c>
      <c r="M277" s="66">
        <v>0</v>
      </c>
      <c r="N277" s="66">
        <v>0</v>
      </c>
      <c r="O277" s="66">
        <v>0</v>
      </c>
      <c r="P277" s="66">
        <v>0</v>
      </c>
      <c r="Q277" s="66">
        <v>0</v>
      </c>
      <c r="R277" s="66">
        <v>0</v>
      </c>
      <c r="S277" s="66">
        <v>0</v>
      </c>
      <c r="T277" s="66">
        <v>0</v>
      </c>
      <c r="U277" s="66">
        <v>0</v>
      </c>
      <c r="V277" s="66">
        <v>0</v>
      </c>
      <c r="W277" s="66">
        <v>0</v>
      </c>
      <c r="X277" s="66">
        <v>0</v>
      </c>
      <c r="Y277" s="66">
        <v>0</v>
      </c>
      <c r="Z277" s="34"/>
      <c r="AA277" s="66">
        <v>0</v>
      </c>
      <c r="AB277" s="60">
        <v>0</v>
      </c>
      <c r="AC277" s="34"/>
      <c r="AD277" s="66">
        <v>0</v>
      </c>
      <c r="AE277" s="60">
        <v>0</v>
      </c>
    </row>
    <row r="278" spans="1:31" ht="18" hidden="1" customHeight="1" outlineLevel="1" x14ac:dyDescent="0.2">
      <c r="A278" s="30" t="s">
        <v>263</v>
      </c>
      <c r="B278" s="30" t="s">
        <v>22</v>
      </c>
      <c r="C278" s="4">
        <v>0</v>
      </c>
      <c r="D278" s="4">
        <v>0</v>
      </c>
      <c r="F278" s="38" t="s">
        <v>264</v>
      </c>
      <c r="G278" s="34"/>
      <c r="H278" s="66">
        <v>0</v>
      </c>
      <c r="I278" s="66">
        <v>0</v>
      </c>
      <c r="J278" s="66">
        <v>0</v>
      </c>
      <c r="K278" s="86">
        <v>0</v>
      </c>
      <c r="L278" s="86">
        <v>0</v>
      </c>
      <c r="M278" s="66">
        <v>0</v>
      </c>
      <c r="N278" s="66">
        <v>0</v>
      </c>
      <c r="O278" s="66">
        <v>0</v>
      </c>
      <c r="P278" s="66">
        <v>0</v>
      </c>
      <c r="Q278" s="66">
        <v>0</v>
      </c>
      <c r="R278" s="66">
        <v>0</v>
      </c>
      <c r="S278" s="66">
        <v>0</v>
      </c>
      <c r="T278" s="66">
        <v>0</v>
      </c>
      <c r="U278" s="66">
        <v>0</v>
      </c>
      <c r="V278" s="66">
        <v>0</v>
      </c>
      <c r="W278" s="66">
        <v>0</v>
      </c>
      <c r="X278" s="66">
        <v>0</v>
      </c>
      <c r="Y278" s="66">
        <v>0</v>
      </c>
      <c r="Z278" s="34"/>
      <c r="AA278" s="66">
        <v>0</v>
      </c>
      <c r="AB278" s="60">
        <v>0</v>
      </c>
      <c r="AC278" s="34"/>
      <c r="AD278" s="66">
        <v>0</v>
      </c>
      <c r="AE278" s="60">
        <v>0</v>
      </c>
    </row>
    <row r="279" spans="1:31" ht="18" hidden="1" customHeight="1" outlineLevel="1" x14ac:dyDescent="0.2">
      <c r="A279" s="30" t="s">
        <v>195</v>
      </c>
      <c r="B279" s="30" t="s">
        <v>22</v>
      </c>
      <c r="C279" s="4">
        <v>0</v>
      </c>
      <c r="D279" s="4">
        <v>0</v>
      </c>
      <c r="F279" s="38" t="s">
        <v>196</v>
      </c>
      <c r="G279" s="34"/>
      <c r="H279" s="66">
        <v>0</v>
      </c>
      <c r="I279" s="66">
        <v>0</v>
      </c>
      <c r="J279" s="66">
        <v>0</v>
      </c>
      <c r="K279" s="86">
        <v>0</v>
      </c>
      <c r="L279" s="86">
        <v>0</v>
      </c>
      <c r="M279" s="66">
        <v>0</v>
      </c>
      <c r="N279" s="66">
        <v>0</v>
      </c>
      <c r="O279" s="66">
        <v>0</v>
      </c>
      <c r="P279" s="66">
        <v>0</v>
      </c>
      <c r="Q279" s="66">
        <v>0</v>
      </c>
      <c r="R279" s="66">
        <v>0</v>
      </c>
      <c r="S279" s="66">
        <v>0</v>
      </c>
      <c r="T279" s="66">
        <v>0</v>
      </c>
      <c r="U279" s="66">
        <v>0</v>
      </c>
      <c r="V279" s="66">
        <v>0</v>
      </c>
      <c r="W279" s="66">
        <v>0</v>
      </c>
      <c r="X279" s="66">
        <v>0</v>
      </c>
      <c r="Y279" s="66">
        <v>0</v>
      </c>
      <c r="Z279" s="34"/>
      <c r="AA279" s="66">
        <v>0</v>
      </c>
      <c r="AB279" s="60">
        <v>0</v>
      </c>
      <c r="AC279" s="34"/>
      <c r="AD279" s="66">
        <v>0</v>
      </c>
      <c r="AE279" s="60">
        <v>0</v>
      </c>
    </row>
    <row r="280" spans="1:31" ht="18" hidden="1" customHeight="1" outlineLevel="1" x14ac:dyDescent="0.2">
      <c r="A280" s="30" t="s">
        <v>200</v>
      </c>
      <c r="B280" s="30" t="s">
        <v>22</v>
      </c>
      <c r="C280" s="4">
        <v>0</v>
      </c>
      <c r="D280" s="4">
        <v>0</v>
      </c>
      <c r="F280" s="104" t="s">
        <v>183</v>
      </c>
      <c r="G280" s="36"/>
      <c r="H280" s="65">
        <v>0</v>
      </c>
      <c r="I280" s="65">
        <v>0</v>
      </c>
      <c r="J280" s="65">
        <v>0</v>
      </c>
      <c r="K280" s="90">
        <v>0</v>
      </c>
      <c r="L280" s="90">
        <v>0</v>
      </c>
      <c r="M280" s="65">
        <v>0</v>
      </c>
      <c r="N280" s="65">
        <v>0</v>
      </c>
      <c r="O280" s="65">
        <v>0</v>
      </c>
      <c r="P280" s="65">
        <v>0</v>
      </c>
      <c r="Q280" s="65">
        <v>0</v>
      </c>
      <c r="R280" s="65">
        <v>0</v>
      </c>
      <c r="S280" s="65">
        <v>0</v>
      </c>
      <c r="T280" s="65">
        <v>0</v>
      </c>
      <c r="U280" s="65">
        <v>0</v>
      </c>
      <c r="V280" s="65">
        <v>0</v>
      </c>
      <c r="W280" s="65">
        <v>0</v>
      </c>
      <c r="X280" s="65">
        <v>0</v>
      </c>
      <c r="Y280" s="65">
        <v>0</v>
      </c>
      <c r="Z280" s="36"/>
      <c r="AA280" s="65">
        <v>0</v>
      </c>
      <c r="AB280" s="60">
        <v>0</v>
      </c>
      <c r="AC280" s="36"/>
      <c r="AD280" s="65">
        <v>0</v>
      </c>
      <c r="AE280" s="60">
        <v>0</v>
      </c>
    </row>
    <row r="281" spans="1:31" ht="18" hidden="1" customHeight="1" outlineLevel="1" x14ac:dyDescent="0.2">
      <c r="A281" s="30" t="s">
        <v>199</v>
      </c>
      <c r="B281" s="30" t="s">
        <v>22</v>
      </c>
      <c r="C281" s="4">
        <v>0</v>
      </c>
      <c r="D281" s="4">
        <v>0</v>
      </c>
      <c r="F281" s="38" t="s">
        <v>184</v>
      </c>
      <c r="G281" s="34"/>
      <c r="H281" s="66">
        <v>0</v>
      </c>
      <c r="I281" s="66">
        <v>0</v>
      </c>
      <c r="J281" s="66">
        <v>0</v>
      </c>
      <c r="K281" s="86">
        <v>0</v>
      </c>
      <c r="L281" s="86">
        <v>0</v>
      </c>
      <c r="M281" s="66">
        <v>0</v>
      </c>
      <c r="N281" s="66">
        <v>0</v>
      </c>
      <c r="O281" s="66">
        <v>0</v>
      </c>
      <c r="P281" s="66">
        <v>0</v>
      </c>
      <c r="Q281" s="66">
        <v>0</v>
      </c>
      <c r="R281" s="66">
        <v>0</v>
      </c>
      <c r="S281" s="66">
        <v>0</v>
      </c>
      <c r="T281" s="66">
        <v>0</v>
      </c>
      <c r="U281" s="66">
        <v>0</v>
      </c>
      <c r="V281" s="66">
        <v>0</v>
      </c>
      <c r="W281" s="66">
        <v>0</v>
      </c>
      <c r="X281" s="66">
        <v>0</v>
      </c>
      <c r="Y281" s="66">
        <v>0</v>
      </c>
      <c r="Z281" s="34"/>
      <c r="AA281" s="66">
        <v>0</v>
      </c>
      <c r="AB281" s="60">
        <v>0</v>
      </c>
      <c r="AC281" s="34"/>
      <c r="AD281" s="66">
        <v>0</v>
      </c>
      <c r="AE281" s="60">
        <v>0</v>
      </c>
    </row>
    <row r="282" spans="1:31" s="253" customFormat="1" ht="18" hidden="1" customHeight="1" outlineLevel="1" x14ac:dyDescent="0.2">
      <c r="A282" s="276" t="s">
        <v>445</v>
      </c>
      <c r="B282" s="276" t="s">
        <v>22</v>
      </c>
      <c r="C282" s="252">
        <v>0</v>
      </c>
      <c r="D282" s="252">
        <v>0</v>
      </c>
      <c r="F282" s="255" t="s">
        <v>452</v>
      </c>
      <c r="G282" s="239"/>
      <c r="H282" s="241">
        <v>0</v>
      </c>
      <c r="I282" s="241">
        <v>0</v>
      </c>
      <c r="J282" s="241">
        <v>0</v>
      </c>
      <c r="K282" s="258">
        <v>0</v>
      </c>
      <c r="L282" s="258">
        <v>0</v>
      </c>
      <c r="M282" s="241">
        <v>0</v>
      </c>
      <c r="N282" s="241">
        <v>0</v>
      </c>
      <c r="O282" s="241">
        <v>0</v>
      </c>
      <c r="P282" s="241">
        <v>0</v>
      </c>
      <c r="Q282" s="241">
        <v>0</v>
      </c>
      <c r="R282" s="241">
        <v>0</v>
      </c>
      <c r="S282" s="241">
        <v>0</v>
      </c>
      <c r="T282" s="241">
        <v>0</v>
      </c>
      <c r="U282" s="241">
        <v>0</v>
      </c>
      <c r="V282" s="241">
        <v>0</v>
      </c>
      <c r="W282" s="241">
        <v>0</v>
      </c>
      <c r="X282" s="241">
        <v>0</v>
      </c>
      <c r="Y282" s="241">
        <v>0</v>
      </c>
      <c r="Z282" s="239"/>
      <c r="AA282" s="241">
        <v>0</v>
      </c>
      <c r="AB282" s="256">
        <v>0</v>
      </c>
      <c r="AC282" s="239"/>
      <c r="AD282" s="241"/>
      <c r="AE282" s="256"/>
    </row>
    <row r="283" spans="1:31" ht="18" hidden="1" customHeight="1" outlineLevel="1" x14ac:dyDescent="0.2">
      <c r="A283" s="30" t="s">
        <v>185</v>
      </c>
      <c r="B283" s="30" t="s">
        <v>22</v>
      </c>
      <c r="C283" s="4">
        <v>0</v>
      </c>
      <c r="D283" s="4">
        <v>0</v>
      </c>
      <c r="F283" s="38" t="s">
        <v>186</v>
      </c>
      <c r="G283" s="34"/>
      <c r="H283" s="66">
        <v>0</v>
      </c>
      <c r="I283" s="66">
        <v>22.248000000000001</v>
      </c>
      <c r="J283" s="66">
        <v>22.248000000000001</v>
      </c>
      <c r="K283" s="86">
        <v>0</v>
      </c>
      <c r="L283" s="86">
        <v>0</v>
      </c>
      <c r="M283" s="66">
        <v>0</v>
      </c>
      <c r="N283" s="66">
        <v>0</v>
      </c>
      <c r="O283" s="66">
        <v>0</v>
      </c>
      <c r="P283" s="66">
        <v>0</v>
      </c>
      <c r="Q283" s="66">
        <v>0</v>
      </c>
      <c r="R283" s="66">
        <v>0</v>
      </c>
      <c r="S283" s="66">
        <v>0</v>
      </c>
      <c r="T283" s="66">
        <v>0</v>
      </c>
      <c r="U283" s="66">
        <v>0</v>
      </c>
      <c r="V283" s="66">
        <v>0</v>
      </c>
      <c r="W283" s="66">
        <v>0</v>
      </c>
      <c r="X283" s="66">
        <v>0</v>
      </c>
      <c r="Y283" s="66">
        <v>0</v>
      </c>
      <c r="Z283" s="34"/>
      <c r="AA283" s="66">
        <v>0</v>
      </c>
      <c r="AB283" s="60">
        <v>0</v>
      </c>
      <c r="AC283" s="34"/>
      <c r="AD283" s="66">
        <v>0</v>
      </c>
      <c r="AE283" s="60">
        <v>0</v>
      </c>
    </row>
    <row r="284" spans="1:31" ht="18" hidden="1" customHeight="1" outlineLevel="1" x14ac:dyDescent="0.2">
      <c r="A284" s="30" t="s">
        <v>125</v>
      </c>
      <c r="B284" s="30" t="s">
        <v>22</v>
      </c>
      <c r="C284" s="4">
        <v>0</v>
      </c>
      <c r="D284" s="4">
        <v>0</v>
      </c>
      <c r="F284" s="38" t="s">
        <v>126</v>
      </c>
      <c r="G284" s="34"/>
      <c r="H284" s="66">
        <v>0</v>
      </c>
      <c r="I284" s="66">
        <v>-6.5000000000000002E-2</v>
      </c>
      <c r="J284" s="66">
        <v>-6.5000000000000002E-2</v>
      </c>
      <c r="K284" s="86">
        <v>0</v>
      </c>
      <c r="L284" s="86">
        <v>0</v>
      </c>
      <c r="M284" s="66">
        <v>0</v>
      </c>
      <c r="N284" s="66">
        <v>0</v>
      </c>
      <c r="O284" s="66">
        <v>0</v>
      </c>
      <c r="P284" s="66">
        <v>0</v>
      </c>
      <c r="Q284" s="66">
        <v>0</v>
      </c>
      <c r="R284" s="66">
        <v>0</v>
      </c>
      <c r="S284" s="66">
        <v>0</v>
      </c>
      <c r="T284" s="66">
        <v>0</v>
      </c>
      <c r="U284" s="66">
        <v>0</v>
      </c>
      <c r="V284" s="66">
        <v>0</v>
      </c>
      <c r="W284" s="66">
        <v>0</v>
      </c>
      <c r="X284" s="66">
        <v>0</v>
      </c>
      <c r="Y284" s="66">
        <v>0</v>
      </c>
      <c r="Z284" s="34"/>
      <c r="AA284" s="66">
        <v>0</v>
      </c>
      <c r="AB284" s="60">
        <v>0</v>
      </c>
      <c r="AC284" s="34"/>
      <c r="AD284" s="66">
        <v>0</v>
      </c>
      <c r="AE284" s="60">
        <v>0</v>
      </c>
    </row>
    <row r="285" spans="1:31" ht="18" customHeight="1" collapsed="1" x14ac:dyDescent="0.2">
      <c r="A285" s="35"/>
      <c r="B285" s="35"/>
      <c r="C285" s="4">
        <v>0</v>
      </c>
      <c r="D285" s="4">
        <v>0</v>
      </c>
      <c r="F285" s="106" t="s">
        <v>69</v>
      </c>
      <c r="H285" s="61">
        <v>0</v>
      </c>
      <c r="I285" s="61">
        <v>22.183</v>
      </c>
      <c r="J285" s="61">
        <v>22.183</v>
      </c>
      <c r="K285" s="86">
        <v>0</v>
      </c>
      <c r="L285" s="86">
        <v>0</v>
      </c>
      <c r="M285" s="61">
        <v>0</v>
      </c>
      <c r="N285" s="61">
        <v>0</v>
      </c>
      <c r="O285" s="61">
        <v>0</v>
      </c>
      <c r="P285" s="61">
        <v>0</v>
      </c>
      <c r="Q285" s="61">
        <v>0</v>
      </c>
      <c r="R285" s="61">
        <v>0</v>
      </c>
      <c r="S285" s="61">
        <v>0</v>
      </c>
      <c r="T285" s="61">
        <v>0</v>
      </c>
      <c r="U285" s="61">
        <v>0</v>
      </c>
      <c r="V285" s="61">
        <v>0</v>
      </c>
      <c r="W285" s="61">
        <v>0</v>
      </c>
      <c r="X285" s="61">
        <v>0</v>
      </c>
      <c r="Y285" s="61">
        <v>0</v>
      </c>
      <c r="AA285" s="61">
        <v>0</v>
      </c>
      <c r="AB285" s="60">
        <v>0</v>
      </c>
      <c r="AD285" s="61">
        <v>0</v>
      </c>
      <c r="AE285" s="60">
        <v>0</v>
      </c>
    </row>
    <row r="286" spans="1:31" ht="18" customHeight="1" x14ac:dyDescent="0.2">
      <c r="A286" s="30" t="s">
        <v>257</v>
      </c>
      <c r="B286" s="30" t="s">
        <v>22</v>
      </c>
      <c r="C286" s="4">
        <v>-0.97222222222222243</v>
      </c>
      <c r="D286" s="4">
        <v>-0.97222222222222243</v>
      </c>
      <c r="F286" s="104" t="s">
        <v>258</v>
      </c>
      <c r="G286" s="36"/>
      <c r="H286" s="65">
        <v>2.9580000000000002</v>
      </c>
      <c r="I286" s="65">
        <v>17.382000000000001</v>
      </c>
      <c r="J286" s="65">
        <v>17.382000000000001</v>
      </c>
      <c r="K286" s="65">
        <v>0</v>
      </c>
      <c r="L286" s="65">
        <v>0</v>
      </c>
      <c r="M286" s="65">
        <v>-0.20499999999999999</v>
      </c>
      <c r="N286" s="65">
        <v>0</v>
      </c>
      <c r="O286" s="65">
        <v>0</v>
      </c>
      <c r="P286" s="65">
        <v>0.20499999999999999</v>
      </c>
      <c r="Q286" s="65">
        <v>0</v>
      </c>
      <c r="R286" s="65">
        <v>0</v>
      </c>
      <c r="S286" s="65">
        <v>0</v>
      </c>
      <c r="T286" s="65">
        <v>0</v>
      </c>
      <c r="U286" s="65">
        <v>0</v>
      </c>
      <c r="V286" s="65">
        <v>0</v>
      </c>
      <c r="W286" s="65">
        <v>0</v>
      </c>
      <c r="X286" s="65">
        <v>-0.14399999999999999</v>
      </c>
      <c r="Y286" s="65">
        <v>-0.14399999999999999</v>
      </c>
      <c r="Z286" s="36"/>
      <c r="AA286" s="65">
        <v>0</v>
      </c>
      <c r="AB286" s="60">
        <v>-0.14000000000000001</v>
      </c>
      <c r="AC286" s="36"/>
      <c r="AD286" s="65">
        <v>0</v>
      </c>
      <c r="AE286" s="60">
        <v>-0.14000000000000001</v>
      </c>
    </row>
    <row r="287" spans="1:31" ht="18" customHeight="1" x14ac:dyDescent="0.2">
      <c r="A287" s="30" t="s">
        <v>256</v>
      </c>
      <c r="B287" s="30" t="s">
        <v>22</v>
      </c>
      <c r="C287" s="4">
        <v>0</v>
      </c>
      <c r="D287" s="4">
        <v>0</v>
      </c>
      <c r="F287" s="104" t="s">
        <v>259</v>
      </c>
      <c r="G287" s="36"/>
      <c r="H287" s="65">
        <v>0</v>
      </c>
      <c r="I287" s="65">
        <v>0</v>
      </c>
      <c r="J287" s="65">
        <v>0</v>
      </c>
      <c r="K287" s="65">
        <v>0</v>
      </c>
      <c r="L287" s="65">
        <v>0</v>
      </c>
      <c r="M287" s="65">
        <v>0</v>
      </c>
      <c r="N287" s="65">
        <v>0</v>
      </c>
      <c r="O287" s="65">
        <v>0</v>
      </c>
      <c r="P287" s="65">
        <v>0</v>
      </c>
      <c r="Q287" s="65">
        <v>0</v>
      </c>
      <c r="R287" s="65">
        <v>0</v>
      </c>
      <c r="S287" s="65">
        <v>0</v>
      </c>
      <c r="T287" s="65">
        <v>0</v>
      </c>
      <c r="U287" s="65">
        <v>0</v>
      </c>
      <c r="V287" s="65">
        <v>0</v>
      </c>
      <c r="W287" s="65">
        <v>0</v>
      </c>
      <c r="X287" s="65">
        <v>0</v>
      </c>
      <c r="Y287" s="65">
        <v>0</v>
      </c>
      <c r="Z287" s="36"/>
      <c r="AA287" s="65">
        <v>0</v>
      </c>
      <c r="AB287" s="60">
        <v>0</v>
      </c>
      <c r="AC287" s="36"/>
      <c r="AD287" s="65">
        <v>0</v>
      </c>
      <c r="AE287" s="60">
        <v>0</v>
      </c>
    </row>
    <row r="288" spans="1:31" ht="18" customHeight="1" x14ac:dyDescent="0.2">
      <c r="A288" s="35"/>
      <c r="B288" s="35"/>
      <c r="C288" s="4">
        <v>-0.9941520467836259</v>
      </c>
      <c r="D288" s="4">
        <v>-0.9941520467836259</v>
      </c>
      <c r="F288" s="95" t="s">
        <v>87</v>
      </c>
      <c r="H288" s="64">
        <v>2.7370000000000001</v>
      </c>
      <c r="I288" s="64">
        <v>39.372</v>
      </c>
      <c r="J288" s="64">
        <v>39.372</v>
      </c>
      <c r="K288" s="89">
        <v>0</v>
      </c>
      <c r="L288" s="89">
        <v>0</v>
      </c>
      <c r="M288" s="64">
        <v>-0.22199999999999998</v>
      </c>
      <c r="N288" s="64">
        <v>-1.6E-2</v>
      </c>
      <c r="O288" s="64">
        <v>-1.7000000000000001E-2</v>
      </c>
      <c r="P288" s="64">
        <v>0.189</v>
      </c>
      <c r="Q288" s="64">
        <v>-1.7000000000000001E-2</v>
      </c>
      <c r="R288" s="64">
        <v>-1.6E-2</v>
      </c>
      <c r="S288" s="64">
        <v>-1.7000000000000001E-2</v>
      </c>
      <c r="T288" s="64">
        <v>-1.6E-2</v>
      </c>
      <c r="U288" s="64">
        <v>-1.6999999999999987E-2</v>
      </c>
      <c r="V288" s="64">
        <v>-1.6000000000000014E-2</v>
      </c>
      <c r="W288" s="64">
        <v>-1.6999999999999987E-2</v>
      </c>
      <c r="X288" s="64">
        <v>-0.16</v>
      </c>
      <c r="Y288" s="64">
        <v>-0.34199999999999997</v>
      </c>
      <c r="AA288" s="64">
        <v>0</v>
      </c>
      <c r="AB288" s="60">
        <v>-0.34</v>
      </c>
      <c r="AD288" s="64">
        <v>0</v>
      </c>
      <c r="AE288" s="60">
        <v>-0.34</v>
      </c>
    </row>
    <row r="289" spans="1:33" ht="12.95" customHeight="1" x14ac:dyDescent="0.2">
      <c r="A289" s="35"/>
      <c r="B289" s="35"/>
      <c r="C289" s="4"/>
      <c r="D289" s="4"/>
      <c r="F289" s="39" t="s">
        <v>223</v>
      </c>
      <c r="H289" s="56" t="e">
        <v>#DIV/0!</v>
      </c>
      <c r="I289" s="56">
        <v>18.562942008486562</v>
      </c>
      <c r="J289" s="56">
        <v>18.562942008486562</v>
      </c>
      <c r="K289" s="109" t="e">
        <v>#DIV/0!</v>
      </c>
      <c r="L289" s="109" t="e">
        <v>#DIV/0!</v>
      </c>
      <c r="M289" s="56" t="e">
        <v>#DIV/0!</v>
      </c>
      <c r="N289" s="56" t="e">
        <v>#DIV/0!</v>
      </c>
      <c r="O289" s="56" t="e">
        <v>#DIV/0!</v>
      </c>
      <c r="P289" s="56" t="e">
        <v>#DIV/0!</v>
      </c>
      <c r="Q289" s="56" t="e">
        <v>#DIV/0!</v>
      </c>
      <c r="R289" s="56" t="e">
        <v>#DIV/0!</v>
      </c>
      <c r="S289" s="56" t="e">
        <v>#DIV/0!</v>
      </c>
      <c r="T289" s="56" t="e">
        <v>#DIV/0!</v>
      </c>
      <c r="U289" s="56" t="e">
        <v>#DIV/0!</v>
      </c>
      <c r="V289" s="56" t="e">
        <v>#DIV/0!</v>
      </c>
      <c r="W289" s="56" t="e">
        <v>#DIV/0!</v>
      </c>
      <c r="X289" s="56" t="e">
        <v>#DIV/0!</v>
      </c>
      <c r="Y289" s="56" t="e">
        <v>#DIV/0!</v>
      </c>
      <c r="AA289" s="56" t="e">
        <v>#DIV/0!</v>
      </c>
      <c r="AB289" s="57"/>
      <c r="AD289" s="56" t="e">
        <v>#DIV/0!</v>
      </c>
      <c r="AE289" s="57"/>
    </row>
    <row r="290" spans="1:33" ht="6.95" customHeight="1" x14ac:dyDescent="0.2">
      <c r="C290" s="4"/>
      <c r="D290" s="4"/>
      <c r="F290" s="96"/>
      <c r="H290" s="16"/>
      <c r="I290" s="16"/>
      <c r="J290" s="16"/>
      <c r="K290" s="85"/>
      <c r="L290" s="85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AA290" s="16"/>
      <c r="AB290" s="20"/>
      <c r="AD290" s="16"/>
      <c r="AE290" s="20"/>
    </row>
    <row r="291" spans="1:33" ht="18" customHeight="1" x14ac:dyDescent="0.2">
      <c r="A291" s="30" t="s">
        <v>19</v>
      </c>
      <c r="B291" s="30" t="s">
        <v>25</v>
      </c>
      <c r="C291" s="4">
        <v>0</v>
      </c>
      <c r="D291" s="4">
        <v>0</v>
      </c>
      <c r="F291" s="104" t="s">
        <v>255</v>
      </c>
      <c r="G291" s="36"/>
      <c r="H291" s="65">
        <v>0</v>
      </c>
      <c r="I291" s="65">
        <v>0</v>
      </c>
      <c r="J291" s="65">
        <v>0</v>
      </c>
      <c r="K291" s="65">
        <v>0</v>
      </c>
      <c r="L291" s="65">
        <v>0</v>
      </c>
      <c r="M291" s="65">
        <v>0</v>
      </c>
      <c r="N291" s="65">
        <v>0</v>
      </c>
      <c r="O291" s="65">
        <v>0</v>
      </c>
      <c r="P291" s="65">
        <v>0</v>
      </c>
      <c r="Q291" s="65">
        <v>0</v>
      </c>
      <c r="R291" s="65">
        <v>0</v>
      </c>
      <c r="S291" s="65">
        <v>0</v>
      </c>
      <c r="T291" s="65">
        <v>0</v>
      </c>
      <c r="U291" s="65">
        <v>0</v>
      </c>
      <c r="V291" s="65">
        <v>0</v>
      </c>
      <c r="W291" s="65">
        <v>0</v>
      </c>
      <c r="X291" s="65">
        <v>0</v>
      </c>
      <c r="Y291" s="65">
        <v>0</v>
      </c>
      <c r="Z291" s="36"/>
      <c r="AA291" s="65">
        <v>0</v>
      </c>
      <c r="AB291" s="60">
        <v>0</v>
      </c>
      <c r="AC291" s="36"/>
      <c r="AD291" s="65">
        <v>0</v>
      </c>
      <c r="AE291" s="60">
        <v>0</v>
      </c>
    </row>
    <row r="292" spans="1:33" ht="12.95" customHeight="1" x14ac:dyDescent="0.2">
      <c r="A292" s="35"/>
      <c r="B292" s="35"/>
      <c r="C292" s="4"/>
      <c r="D292" s="4"/>
      <c r="F292" s="39" t="s">
        <v>223</v>
      </c>
      <c r="H292" s="56" t="e">
        <v>#DIV/0!</v>
      </c>
      <c r="I292" s="56">
        <v>0</v>
      </c>
      <c r="J292" s="56">
        <v>0</v>
      </c>
      <c r="K292" s="109" t="e">
        <v>#DIV/0!</v>
      </c>
      <c r="L292" s="109" t="e">
        <v>#DIV/0!</v>
      </c>
      <c r="M292" s="56" t="e">
        <v>#DIV/0!</v>
      </c>
      <c r="N292" s="56" t="e">
        <v>#DIV/0!</v>
      </c>
      <c r="O292" s="56" t="e">
        <v>#DIV/0!</v>
      </c>
      <c r="P292" s="56" t="e">
        <v>#DIV/0!</v>
      </c>
      <c r="Q292" s="56" t="e">
        <v>#DIV/0!</v>
      </c>
      <c r="R292" s="56" t="e">
        <v>#DIV/0!</v>
      </c>
      <c r="S292" s="56" t="e">
        <v>#DIV/0!</v>
      </c>
      <c r="T292" s="56" t="e">
        <v>#DIV/0!</v>
      </c>
      <c r="U292" s="56" t="e">
        <v>#DIV/0!</v>
      </c>
      <c r="V292" s="56" t="e">
        <v>#DIV/0!</v>
      </c>
      <c r="W292" s="56" t="e">
        <v>#DIV/0!</v>
      </c>
      <c r="X292" s="56" t="e">
        <v>#DIV/0!</v>
      </c>
      <c r="Y292" s="56" t="e">
        <v>#DIV/0!</v>
      </c>
      <c r="AA292" s="56" t="e">
        <v>#DIV/0!</v>
      </c>
      <c r="AB292" s="57"/>
      <c r="AD292" s="56" t="e">
        <v>#DIV/0!</v>
      </c>
      <c r="AE292" s="57"/>
    </row>
    <row r="293" spans="1:33" ht="6.95" customHeight="1" x14ac:dyDescent="0.2">
      <c r="C293" s="4"/>
      <c r="D293" s="4"/>
      <c r="F293" s="96"/>
      <c r="H293" s="16"/>
      <c r="I293" s="16"/>
      <c r="J293" s="16"/>
      <c r="K293" s="85"/>
      <c r="L293" s="85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AA293" s="16"/>
      <c r="AB293" s="20"/>
      <c r="AD293" s="16"/>
      <c r="AE293" s="20"/>
    </row>
    <row r="294" spans="1:33" s="40" customFormat="1" ht="18" customHeight="1" x14ac:dyDescent="0.2">
      <c r="A294" s="35"/>
      <c r="B294" s="35"/>
      <c r="C294" s="4">
        <v>-0.9941520467836259</v>
      </c>
      <c r="D294" s="4">
        <v>-0.9941520467836259</v>
      </c>
      <c r="E294" s="8"/>
      <c r="F294" s="100" t="s">
        <v>279</v>
      </c>
      <c r="G294" s="8"/>
      <c r="H294" s="62">
        <v>2.7370000000000001</v>
      </c>
      <c r="I294" s="62">
        <v>39.372</v>
      </c>
      <c r="J294" s="62">
        <v>39.372</v>
      </c>
      <c r="K294" s="108">
        <v>0</v>
      </c>
      <c r="L294" s="108">
        <v>0</v>
      </c>
      <c r="M294" s="62">
        <v>-0.22199999999999998</v>
      </c>
      <c r="N294" s="62">
        <v>-1.6E-2</v>
      </c>
      <c r="O294" s="62">
        <v>-1.7000000000000001E-2</v>
      </c>
      <c r="P294" s="62">
        <v>0.189</v>
      </c>
      <c r="Q294" s="62">
        <v>-1.7000000000000001E-2</v>
      </c>
      <c r="R294" s="62">
        <v>-1.6E-2</v>
      </c>
      <c r="S294" s="62">
        <v>-1.7000000000000001E-2</v>
      </c>
      <c r="T294" s="62">
        <v>-1.6E-2</v>
      </c>
      <c r="U294" s="62">
        <v>-1.6999999999999987E-2</v>
      </c>
      <c r="V294" s="62">
        <v>-1.6000000000000014E-2</v>
      </c>
      <c r="W294" s="62">
        <v>-1.6999999999999987E-2</v>
      </c>
      <c r="X294" s="62">
        <v>-0.16</v>
      </c>
      <c r="Y294" s="62">
        <v>-0.34199999999999997</v>
      </c>
      <c r="Z294" s="8"/>
      <c r="AA294" s="62">
        <v>0</v>
      </c>
      <c r="AB294" s="60">
        <v>-0.34</v>
      </c>
      <c r="AC294" s="8"/>
      <c r="AD294" s="62">
        <v>0</v>
      </c>
      <c r="AE294" s="60">
        <v>-0.34</v>
      </c>
      <c r="AG294" s="41"/>
    </row>
    <row r="295" spans="1:33" ht="12.95" customHeight="1" x14ac:dyDescent="0.2">
      <c r="A295" s="35"/>
      <c r="B295" s="35"/>
      <c r="C295" s="4"/>
      <c r="D295" s="4"/>
      <c r="F295" s="39" t="s">
        <v>223</v>
      </c>
      <c r="H295" s="56" t="e">
        <v>#DIV/0!</v>
      </c>
      <c r="I295" s="56">
        <v>18.562942008486562</v>
      </c>
      <c r="J295" s="56">
        <v>18.562942008486562</v>
      </c>
      <c r="K295" s="109" t="e">
        <v>#DIV/0!</v>
      </c>
      <c r="L295" s="109" t="e">
        <v>#DIV/0!</v>
      </c>
      <c r="M295" s="56" t="e">
        <v>#DIV/0!</v>
      </c>
      <c r="N295" s="56" t="e">
        <v>#DIV/0!</v>
      </c>
      <c r="O295" s="56" t="e">
        <v>#DIV/0!</v>
      </c>
      <c r="P295" s="56" t="e">
        <v>#DIV/0!</v>
      </c>
      <c r="Q295" s="56" t="e">
        <v>#DIV/0!</v>
      </c>
      <c r="R295" s="56" t="e">
        <v>#DIV/0!</v>
      </c>
      <c r="S295" s="56" t="e">
        <v>#DIV/0!</v>
      </c>
      <c r="T295" s="56" t="e">
        <v>#DIV/0!</v>
      </c>
      <c r="U295" s="56" t="e">
        <v>#DIV/0!</v>
      </c>
      <c r="V295" s="56" t="e">
        <v>#DIV/0!</v>
      </c>
      <c r="W295" s="56" t="e">
        <v>#DIV/0!</v>
      </c>
      <c r="X295" s="56" t="e">
        <v>#DIV/0!</v>
      </c>
      <c r="Y295" s="56" t="e">
        <v>#DIV/0!</v>
      </c>
      <c r="AA295" s="56" t="e">
        <v>#DIV/0!</v>
      </c>
      <c r="AB295" s="57"/>
      <c r="AD295" s="56" t="e">
        <v>#DIV/0!</v>
      </c>
      <c r="AE295" s="57"/>
    </row>
    <row r="296" spans="1:33" ht="6.95" customHeight="1" x14ac:dyDescent="0.2">
      <c r="C296" s="4"/>
      <c r="D296" s="4"/>
      <c r="F296" s="96"/>
      <c r="H296" s="16"/>
      <c r="I296" s="16"/>
      <c r="J296" s="16"/>
      <c r="K296" s="85"/>
      <c r="L296" s="85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AA296" s="16"/>
      <c r="AB296" s="20"/>
      <c r="AD296" s="16"/>
      <c r="AE296" s="20"/>
    </row>
    <row r="297" spans="1:33" s="40" customFormat="1" ht="18" customHeight="1" x14ac:dyDescent="0.2">
      <c r="A297" s="35"/>
      <c r="B297" s="35"/>
      <c r="C297" s="4">
        <v>0.99987836029680355</v>
      </c>
      <c r="D297" s="4">
        <v>0.99987836029680355</v>
      </c>
      <c r="E297" s="8"/>
      <c r="F297" s="101" t="s">
        <v>23</v>
      </c>
      <c r="G297" s="8"/>
      <c r="H297" s="77">
        <v>271.22200000000004</v>
      </c>
      <c r="I297" s="77">
        <v>-4.0899999999999963</v>
      </c>
      <c r="J297" s="77">
        <v>-4.0899999999999963</v>
      </c>
      <c r="K297" s="114">
        <v>0</v>
      </c>
      <c r="L297" s="114">
        <v>0</v>
      </c>
      <c r="M297" s="77">
        <v>-0.24099999999999996</v>
      </c>
      <c r="N297" s="77">
        <v>-3.6000000000000004E-2</v>
      </c>
      <c r="O297" s="77">
        <v>5.7479999999999993</v>
      </c>
      <c r="P297" s="77">
        <v>0.16900000000000001</v>
      </c>
      <c r="Q297" s="77">
        <v>-3.5000000000000003E-2</v>
      </c>
      <c r="R297" s="77">
        <v>-3.5000000000000003E-2</v>
      </c>
      <c r="S297" s="77">
        <v>-7.2999999999999982E-2</v>
      </c>
      <c r="T297" s="77">
        <v>-0.24000000000000005</v>
      </c>
      <c r="U297" s="77">
        <v>0.33999999999999997</v>
      </c>
      <c r="V297" s="77">
        <v>2.4679999999999902</v>
      </c>
      <c r="W297" s="77">
        <v>0.28499999999998971</v>
      </c>
      <c r="X297" s="77">
        <v>-0.129</v>
      </c>
      <c r="Y297" s="77">
        <v>8.2209999999999788</v>
      </c>
      <c r="Z297" s="8"/>
      <c r="AA297" s="77">
        <v>0</v>
      </c>
      <c r="AB297" s="60">
        <v>8.2200000000000006</v>
      </c>
      <c r="AC297" s="8"/>
      <c r="AD297" s="77">
        <v>0</v>
      </c>
      <c r="AE297" s="60">
        <v>8.2200000000000006</v>
      </c>
    </row>
    <row r="298" spans="1:33" ht="12.95" customHeight="1" x14ac:dyDescent="0.2">
      <c r="A298" s="35"/>
      <c r="B298" s="35"/>
      <c r="C298" s="4"/>
      <c r="D298" s="4"/>
      <c r="F298" s="39" t="s">
        <v>223</v>
      </c>
      <c r="H298" s="56" t="e">
        <v>#DIV/0!</v>
      </c>
      <c r="I298" s="56">
        <v>1.9283356907119267</v>
      </c>
      <c r="J298" s="56">
        <v>1.9283356907119267</v>
      </c>
      <c r="K298" s="109" t="e">
        <v>#DIV/0!</v>
      </c>
      <c r="L298" s="109" t="e">
        <v>#DIV/0!</v>
      </c>
      <c r="M298" s="56" t="e">
        <v>#DIV/0!</v>
      </c>
      <c r="N298" s="56" t="e">
        <v>#DIV/0!</v>
      </c>
      <c r="O298" s="56" t="e">
        <v>#DIV/0!</v>
      </c>
      <c r="P298" s="56" t="e">
        <v>#DIV/0!</v>
      </c>
      <c r="Q298" s="56" t="e">
        <v>#DIV/0!</v>
      </c>
      <c r="R298" s="56" t="e">
        <v>#DIV/0!</v>
      </c>
      <c r="S298" s="56" t="e">
        <v>#DIV/0!</v>
      </c>
      <c r="T298" s="56" t="e">
        <v>#DIV/0!</v>
      </c>
      <c r="U298" s="56" t="e">
        <v>#DIV/0!</v>
      </c>
      <c r="V298" s="56" t="e">
        <v>#DIV/0!</v>
      </c>
      <c r="W298" s="56" t="e">
        <v>#DIV/0!</v>
      </c>
      <c r="X298" s="56" t="e">
        <v>#DIV/0!</v>
      </c>
      <c r="Y298" s="56" t="e">
        <v>#DIV/0!</v>
      </c>
      <c r="AA298" s="56" t="e">
        <v>#DIV/0!</v>
      </c>
      <c r="AB298" s="57"/>
      <c r="AD298" s="56" t="e">
        <v>#DIV/0!</v>
      </c>
      <c r="AE298" s="57"/>
    </row>
    <row r="299" spans="1:33" s="11" customFormat="1" ht="6.75" customHeight="1" x14ac:dyDescent="0.2">
      <c r="A299" s="8"/>
      <c r="B299" s="8"/>
      <c r="C299" s="8"/>
      <c r="D299" s="8"/>
      <c r="AF299" s="8"/>
      <c r="AG299" s="8"/>
    </row>
    <row r="300" spans="1:33" s="11" customFormat="1" ht="18" customHeight="1" x14ac:dyDescent="0.2">
      <c r="A300" s="276" t="s">
        <v>92</v>
      </c>
      <c r="B300" s="276" t="s">
        <v>17</v>
      </c>
      <c r="C300" s="253"/>
      <c r="D300" s="253"/>
      <c r="F300" s="101" t="s">
        <v>455</v>
      </c>
      <c r="G300" s="253"/>
      <c r="H300" s="77">
        <v>-0.64300000000000002</v>
      </c>
      <c r="I300" s="77">
        <v>-0.377</v>
      </c>
      <c r="J300" s="77">
        <v>-0.377</v>
      </c>
      <c r="K300" s="114">
        <v>0</v>
      </c>
      <c r="L300" s="114">
        <v>0</v>
      </c>
      <c r="M300" s="77">
        <v>0</v>
      </c>
      <c r="N300" s="77">
        <v>0</v>
      </c>
      <c r="O300" s="77">
        <v>0</v>
      </c>
      <c r="P300" s="77">
        <v>0</v>
      </c>
      <c r="Q300" s="77">
        <v>0</v>
      </c>
      <c r="R300" s="77">
        <v>0</v>
      </c>
      <c r="S300" s="77">
        <v>0</v>
      </c>
      <c r="T300" s="77">
        <v>0</v>
      </c>
      <c r="U300" s="77">
        <v>0</v>
      </c>
      <c r="V300" s="77">
        <v>0</v>
      </c>
      <c r="W300" s="77">
        <v>0</v>
      </c>
      <c r="X300" s="77">
        <v>0</v>
      </c>
      <c r="Y300" s="77">
        <v>0</v>
      </c>
      <c r="Z300" s="253"/>
      <c r="AA300" s="77">
        <v>0</v>
      </c>
      <c r="AB300" s="256">
        <v>0</v>
      </c>
      <c r="AD300" s="77">
        <v>0</v>
      </c>
      <c r="AE300" s="256">
        <v>0</v>
      </c>
      <c r="AF300" s="253"/>
      <c r="AG300" s="253"/>
    </row>
    <row r="301" spans="1:33" s="11" customFormat="1" ht="6.75" customHeight="1" x14ac:dyDescent="0.2">
      <c r="A301" s="253"/>
      <c r="B301" s="253"/>
      <c r="C301" s="253"/>
      <c r="D301" s="253"/>
      <c r="AF301" s="253"/>
      <c r="AG301" s="253"/>
    </row>
    <row r="302" spans="1:33" s="11" customFormat="1" ht="18" customHeight="1" x14ac:dyDescent="0.2">
      <c r="A302" s="276" t="s">
        <v>457</v>
      </c>
      <c r="B302" s="276" t="s">
        <v>17</v>
      </c>
      <c r="C302" s="253"/>
      <c r="D302" s="253"/>
      <c r="F302" s="101" t="s">
        <v>456</v>
      </c>
      <c r="G302" s="253"/>
      <c r="H302" s="77">
        <v>271.86500000000001</v>
      </c>
      <c r="I302" s="77">
        <v>-3.7129999999999899</v>
      </c>
      <c r="J302" s="77">
        <v>-3.7129999999999899</v>
      </c>
      <c r="K302" s="114">
        <v>0</v>
      </c>
      <c r="L302" s="114">
        <v>0</v>
      </c>
      <c r="M302" s="77">
        <v>-0.24099999999999999</v>
      </c>
      <c r="N302" s="77">
        <v>-3.6000000000000032E-2</v>
      </c>
      <c r="O302" s="77">
        <v>5.7480000000000002</v>
      </c>
      <c r="P302" s="77">
        <v>0.16899999999999959</v>
      </c>
      <c r="Q302" s="77">
        <v>-3.4999999999999254E-2</v>
      </c>
      <c r="R302" s="77">
        <v>-3.5000000000000142E-2</v>
      </c>
      <c r="S302" s="77">
        <v>-7.3000000000000398E-2</v>
      </c>
      <c r="T302" s="77">
        <v>-0.24000000000000021</v>
      </c>
      <c r="U302" s="77">
        <v>0.34000000000000075</v>
      </c>
      <c r="V302" s="77">
        <v>2.4679999999999795</v>
      </c>
      <c r="W302" s="77">
        <v>0.28499999999998948</v>
      </c>
      <c r="X302" s="77">
        <v>-0.1289999999999889</v>
      </c>
      <c r="Y302" s="77">
        <v>8.2209999999999805</v>
      </c>
      <c r="Z302" s="253"/>
      <c r="AA302" s="77">
        <v>0</v>
      </c>
      <c r="AB302" s="256">
        <v>8.2200000000000006</v>
      </c>
      <c r="AD302" s="77">
        <v>0</v>
      </c>
      <c r="AE302" s="256">
        <v>8.2200000000000006</v>
      </c>
      <c r="AF302" s="253"/>
      <c r="AG302" s="253"/>
    </row>
    <row r="303" spans="1:33" s="11" customFormat="1" x14ac:dyDescent="0.2">
      <c r="A303" s="253"/>
      <c r="B303" s="253"/>
      <c r="C303" s="253"/>
      <c r="D303" s="253"/>
      <c r="AF303" s="253"/>
      <c r="AG303" s="253"/>
    </row>
    <row r="304" spans="1:33" s="11" customFormat="1" x14ac:dyDescent="0.2">
      <c r="A304" s="8"/>
      <c r="B304" s="8"/>
      <c r="C304" s="8"/>
      <c r="D304" s="8"/>
      <c r="AF304" s="8"/>
      <c r="AG304" s="8"/>
    </row>
    <row r="305" spans="1:33" s="11" customFormat="1" x14ac:dyDescent="0.2">
      <c r="A305" s="8"/>
      <c r="B305" s="8"/>
      <c r="C305" s="8"/>
      <c r="D305" s="8"/>
      <c r="AF305" s="8"/>
      <c r="AG305" s="8"/>
    </row>
    <row r="306" spans="1:33" s="11" customFormat="1" x14ac:dyDescent="0.2">
      <c r="A306" s="8"/>
      <c r="B306" s="8"/>
      <c r="C306" s="8"/>
      <c r="D306" s="8"/>
      <c r="AF306" s="8"/>
      <c r="AG306" s="8"/>
    </row>
    <row r="307" spans="1:33" s="11" customFormat="1" x14ac:dyDescent="0.2">
      <c r="A307" s="8"/>
      <c r="B307" s="8"/>
      <c r="C307" s="8"/>
      <c r="D307" s="8"/>
      <c r="AF307" s="8"/>
      <c r="AG307" s="8"/>
    </row>
    <row r="308" spans="1:33" s="11" customFormat="1" x14ac:dyDescent="0.2">
      <c r="A308" s="8"/>
      <c r="B308" s="8"/>
      <c r="C308" s="8"/>
      <c r="D308" s="8"/>
      <c r="AF308" s="8"/>
      <c r="AG308" s="8"/>
    </row>
    <row r="309" spans="1:33" s="11" customFormat="1" x14ac:dyDescent="0.2">
      <c r="A309" s="8"/>
      <c r="B309" s="8"/>
      <c r="C309" s="8"/>
      <c r="D309" s="8"/>
      <c r="AF309" s="8"/>
      <c r="AG309" s="8"/>
    </row>
    <row r="310" spans="1:33" s="11" customFormat="1" x14ac:dyDescent="0.2">
      <c r="A310" s="8"/>
      <c r="B310" s="8"/>
      <c r="C310" s="8"/>
      <c r="D310" s="8"/>
      <c r="AF310" s="8"/>
      <c r="AG310" s="8"/>
    </row>
    <row r="311" spans="1:33" s="11" customFormat="1" x14ac:dyDescent="0.2">
      <c r="A311" s="8"/>
      <c r="B311" s="8"/>
      <c r="C311" s="8"/>
      <c r="D311" s="8"/>
      <c r="AF311" s="8"/>
      <c r="AG311" s="8"/>
    </row>
    <row r="312" spans="1:33" s="11" customFormat="1" x14ac:dyDescent="0.2">
      <c r="A312" s="8"/>
      <c r="B312" s="8"/>
      <c r="C312" s="8"/>
      <c r="D312" s="8"/>
      <c r="AF312" s="8"/>
      <c r="AG312" s="8"/>
    </row>
    <row r="313" spans="1:33" s="11" customFormat="1" x14ac:dyDescent="0.2">
      <c r="A313" s="8"/>
      <c r="B313" s="8"/>
      <c r="C313" s="8"/>
      <c r="D313" s="8"/>
      <c r="AF313" s="8"/>
      <c r="AG313" s="8"/>
    </row>
    <row r="314" spans="1:33" s="11" customFormat="1" x14ac:dyDescent="0.2">
      <c r="A314" s="8"/>
      <c r="B314" s="8"/>
      <c r="C314" s="8"/>
      <c r="D314" s="8"/>
      <c r="AF314" s="8"/>
      <c r="AG314" s="8"/>
    </row>
    <row r="315" spans="1:33" s="11" customFormat="1" x14ac:dyDescent="0.2">
      <c r="A315" s="8"/>
      <c r="B315" s="8"/>
      <c r="C315" s="8"/>
      <c r="D315" s="8"/>
      <c r="AF315" s="8"/>
      <c r="AG315" s="8"/>
    </row>
    <row r="316" spans="1:33" s="11" customFormat="1" x14ac:dyDescent="0.2">
      <c r="A316" s="8"/>
      <c r="B316" s="8"/>
      <c r="C316" s="8"/>
      <c r="D316" s="8"/>
      <c r="AF316" s="8"/>
      <c r="AG316" s="8"/>
    </row>
    <row r="317" spans="1:33" s="11" customFormat="1" x14ac:dyDescent="0.2">
      <c r="A317" s="8"/>
      <c r="B317" s="8"/>
      <c r="C317" s="8"/>
      <c r="D317" s="8"/>
      <c r="AF317" s="8"/>
      <c r="AG317" s="8"/>
    </row>
    <row r="318" spans="1:33" s="11" customFormat="1" x14ac:dyDescent="0.2">
      <c r="A318" s="8"/>
      <c r="B318" s="8"/>
      <c r="C318" s="8"/>
      <c r="D318" s="8"/>
      <c r="AF318" s="8"/>
      <c r="AG318" s="8"/>
    </row>
    <row r="319" spans="1:33" s="11" customFormat="1" x14ac:dyDescent="0.2">
      <c r="A319" s="8"/>
      <c r="B319" s="8"/>
      <c r="C319" s="8"/>
      <c r="D319" s="8"/>
      <c r="AF319" s="8"/>
      <c r="AG319" s="8"/>
    </row>
    <row r="320" spans="1:33" s="11" customFormat="1" x14ac:dyDescent="0.2">
      <c r="A320" s="8"/>
      <c r="B320" s="8"/>
      <c r="C320" s="8"/>
      <c r="D320" s="8"/>
      <c r="AF320" s="8"/>
      <c r="AG320" s="8"/>
    </row>
    <row r="321" spans="1:33" s="11" customFormat="1" x14ac:dyDescent="0.2">
      <c r="A321" s="8"/>
      <c r="B321" s="8"/>
      <c r="C321" s="8"/>
      <c r="D321" s="8"/>
      <c r="AF321" s="8"/>
      <c r="AG321" s="8"/>
    </row>
    <row r="322" spans="1:33" s="11" customFormat="1" x14ac:dyDescent="0.2">
      <c r="A322" s="8"/>
      <c r="B322" s="8"/>
      <c r="C322" s="8"/>
      <c r="D322" s="8"/>
      <c r="AF322" s="8"/>
      <c r="AG322" s="8"/>
    </row>
    <row r="323" spans="1:33" s="11" customFormat="1" x14ac:dyDescent="0.2">
      <c r="A323" s="8"/>
      <c r="B323" s="8"/>
      <c r="C323" s="8"/>
      <c r="D323" s="8"/>
      <c r="AF323" s="8"/>
      <c r="AG323" s="8"/>
    </row>
    <row r="324" spans="1:33" s="11" customFormat="1" x14ac:dyDescent="0.2">
      <c r="A324" s="8"/>
      <c r="B324" s="8"/>
      <c r="C324" s="8"/>
      <c r="D324" s="8"/>
      <c r="AF324" s="8"/>
      <c r="AG324" s="8"/>
    </row>
    <row r="325" spans="1:33" s="11" customFormat="1" x14ac:dyDescent="0.2">
      <c r="A325" s="8"/>
      <c r="B325" s="8"/>
      <c r="C325" s="8"/>
      <c r="D325" s="8"/>
      <c r="AF325" s="8"/>
      <c r="AG325" s="8"/>
    </row>
    <row r="326" spans="1:33" s="11" customFormat="1" x14ac:dyDescent="0.2">
      <c r="A326" s="8"/>
      <c r="B326" s="8"/>
      <c r="C326" s="8"/>
      <c r="D326" s="8"/>
      <c r="AF326" s="8"/>
      <c r="AG326" s="8"/>
    </row>
    <row r="327" spans="1:33" s="11" customFormat="1" x14ac:dyDescent="0.2">
      <c r="A327" s="8"/>
      <c r="B327" s="8"/>
      <c r="C327" s="8"/>
      <c r="D327" s="8"/>
      <c r="AF327" s="8"/>
      <c r="AG327" s="8"/>
    </row>
    <row r="328" spans="1:33" s="11" customFormat="1" x14ac:dyDescent="0.2">
      <c r="A328" s="8"/>
      <c r="B328" s="8"/>
      <c r="C328" s="8"/>
      <c r="D328" s="8"/>
      <c r="AF328" s="8"/>
      <c r="AG328" s="8"/>
    </row>
    <row r="329" spans="1:33" s="11" customFormat="1" x14ac:dyDescent="0.2">
      <c r="A329" s="8"/>
      <c r="B329" s="8"/>
      <c r="C329" s="8"/>
      <c r="D329" s="8"/>
      <c r="AF329" s="8"/>
      <c r="AG329" s="8"/>
    </row>
    <row r="330" spans="1:33" s="11" customFormat="1" x14ac:dyDescent="0.2">
      <c r="A330" s="8"/>
      <c r="B330" s="8"/>
      <c r="C330" s="8"/>
      <c r="D330" s="8"/>
      <c r="AF330" s="8"/>
      <c r="AG330" s="8"/>
    </row>
    <row r="331" spans="1:33" s="11" customFormat="1" x14ac:dyDescent="0.2">
      <c r="A331" s="8"/>
      <c r="B331" s="8"/>
      <c r="C331" s="8"/>
      <c r="D331" s="8"/>
      <c r="AF331" s="8"/>
      <c r="AG331" s="8"/>
    </row>
    <row r="332" spans="1:33" s="11" customFormat="1" x14ac:dyDescent="0.2">
      <c r="A332" s="8"/>
      <c r="B332" s="8"/>
      <c r="C332" s="8"/>
      <c r="D332" s="8"/>
      <c r="AF332" s="8"/>
      <c r="AG332" s="8"/>
    </row>
    <row r="333" spans="1:33" s="11" customFormat="1" x14ac:dyDescent="0.2">
      <c r="A333" s="8"/>
      <c r="B333" s="8"/>
      <c r="C333" s="8"/>
      <c r="D333" s="8"/>
      <c r="AF333" s="8"/>
      <c r="AG333" s="8"/>
    </row>
    <row r="334" spans="1:33" s="11" customFormat="1" x14ac:dyDescent="0.2">
      <c r="A334" s="8"/>
      <c r="B334" s="8"/>
      <c r="C334" s="8"/>
      <c r="D334" s="8"/>
      <c r="AF334" s="8"/>
      <c r="AG334" s="8"/>
    </row>
    <row r="335" spans="1:33" s="11" customFormat="1" x14ac:dyDescent="0.2">
      <c r="A335" s="8"/>
      <c r="B335" s="8"/>
      <c r="C335" s="8"/>
      <c r="D335" s="8"/>
      <c r="AF335" s="8"/>
      <c r="AG335" s="8"/>
    </row>
    <row r="336" spans="1:33" s="11" customFormat="1" x14ac:dyDescent="0.2">
      <c r="A336" s="8"/>
      <c r="B336" s="8"/>
      <c r="C336" s="8"/>
      <c r="D336" s="8"/>
      <c r="AF336" s="8"/>
      <c r="AG336" s="8"/>
    </row>
    <row r="337" spans="1:33" s="11" customFormat="1" x14ac:dyDescent="0.2">
      <c r="A337" s="8"/>
      <c r="B337" s="8"/>
      <c r="C337" s="8"/>
      <c r="D337" s="8"/>
      <c r="AF337" s="8"/>
      <c r="AG337" s="8"/>
    </row>
    <row r="338" spans="1:33" s="11" customFormat="1" x14ac:dyDescent="0.2">
      <c r="A338" s="8"/>
      <c r="B338" s="8"/>
      <c r="C338" s="8"/>
      <c r="D338" s="8"/>
      <c r="AF338" s="8"/>
      <c r="AG338" s="8"/>
    </row>
    <row r="339" spans="1:33" s="11" customFormat="1" x14ac:dyDescent="0.2">
      <c r="A339" s="8"/>
      <c r="B339" s="8"/>
      <c r="C339" s="8"/>
      <c r="D339" s="8"/>
      <c r="AF339" s="8"/>
      <c r="AG339" s="8"/>
    </row>
    <row r="340" spans="1:33" s="11" customFormat="1" x14ac:dyDescent="0.2">
      <c r="A340" s="8"/>
      <c r="B340" s="8"/>
      <c r="C340" s="8"/>
      <c r="D340" s="8"/>
      <c r="AF340" s="8"/>
      <c r="AG340" s="8"/>
    </row>
    <row r="341" spans="1:33" s="11" customFormat="1" x14ac:dyDescent="0.2">
      <c r="A341" s="8"/>
      <c r="B341" s="8"/>
      <c r="C341" s="8"/>
      <c r="D341" s="8"/>
      <c r="AF341" s="8"/>
      <c r="AG341" s="8"/>
    </row>
    <row r="342" spans="1:33" s="11" customFormat="1" x14ac:dyDescent="0.2">
      <c r="A342" s="8"/>
      <c r="B342" s="8"/>
      <c r="C342" s="8"/>
      <c r="D342" s="8"/>
      <c r="AF342" s="8"/>
      <c r="AG342" s="8"/>
    </row>
    <row r="343" spans="1:33" s="11" customFormat="1" x14ac:dyDescent="0.2">
      <c r="A343" s="8"/>
      <c r="B343" s="8"/>
      <c r="C343" s="8"/>
      <c r="D343" s="8"/>
      <c r="AF343" s="8"/>
      <c r="AG343" s="8"/>
    </row>
    <row r="344" spans="1:33" s="11" customFormat="1" x14ac:dyDescent="0.2">
      <c r="A344" s="8"/>
      <c r="B344" s="8"/>
      <c r="C344" s="8"/>
      <c r="D344" s="8"/>
      <c r="AF344" s="8"/>
      <c r="AG344" s="8"/>
    </row>
    <row r="345" spans="1:33" s="11" customFormat="1" x14ac:dyDescent="0.2">
      <c r="A345" s="8"/>
      <c r="B345" s="8"/>
      <c r="C345" s="8"/>
      <c r="D345" s="8"/>
      <c r="AF345" s="8"/>
      <c r="AG345" s="8"/>
    </row>
    <row r="346" spans="1:33" s="11" customFormat="1" x14ac:dyDescent="0.2">
      <c r="A346" s="8"/>
      <c r="B346" s="8"/>
      <c r="C346" s="8"/>
      <c r="D346" s="8"/>
      <c r="AF346" s="8"/>
      <c r="AG346" s="8"/>
    </row>
    <row r="347" spans="1:33" s="11" customFormat="1" x14ac:dyDescent="0.2">
      <c r="A347" s="8"/>
      <c r="B347" s="8"/>
      <c r="C347" s="8"/>
      <c r="D347" s="8"/>
      <c r="AF347" s="8"/>
      <c r="AG347" s="8"/>
    </row>
    <row r="350" spans="1:33" ht="18" customHeight="1" x14ac:dyDescent="0.2">
      <c r="A350" s="30" t="s">
        <v>287</v>
      </c>
      <c r="B350" s="30" t="s">
        <v>17</v>
      </c>
      <c r="C350" s="4">
        <v>0</v>
      </c>
      <c r="D350" s="4">
        <v>0</v>
      </c>
      <c r="F350" s="106" t="s">
        <v>288</v>
      </c>
      <c r="H350" s="61">
        <v>0</v>
      </c>
      <c r="I350" s="61">
        <v>0</v>
      </c>
      <c r="J350" s="61">
        <v>0</v>
      </c>
      <c r="K350" s="86">
        <v>0</v>
      </c>
      <c r="L350" s="86">
        <v>0</v>
      </c>
      <c r="M350" s="61">
        <v>0</v>
      </c>
      <c r="N350" s="61">
        <v>0</v>
      </c>
      <c r="O350" s="61">
        <v>0</v>
      </c>
      <c r="P350" s="61">
        <v>0</v>
      </c>
      <c r="Q350" s="61">
        <v>0</v>
      </c>
      <c r="R350" s="61">
        <v>0</v>
      </c>
      <c r="S350" s="61">
        <v>0</v>
      </c>
      <c r="T350" s="61">
        <v>0</v>
      </c>
      <c r="U350" s="61">
        <v>0</v>
      </c>
      <c r="V350" s="61">
        <v>0</v>
      </c>
      <c r="W350" s="61">
        <v>0</v>
      </c>
      <c r="X350" s="61">
        <v>0</v>
      </c>
      <c r="Y350" s="61">
        <v>0</v>
      </c>
      <c r="AA350" s="61">
        <v>0</v>
      </c>
      <c r="AB350" s="20"/>
      <c r="AD350" s="61">
        <v>0</v>
      </c>
      <c r="AE350" s="20"/>
    </row>
    <row r="351" spans="1:33" ht="18" hidden="1" customHeight="1" outlineLevel="1" x14ac:dyDescent="0.2">
      <c r="A351" s="30" t="s">
        <v>291</v>
      </c>
      <c r="B351" s="30" t="s">
        <v>17</v>
      </c>
      <c r="C351" s="4">
        <v>0</v>
      </c>
      <c r="D351" s="4">
        <v>0</v>
      </c>
      <c r="F351" s="106" t="s">
        <v>290</v>
      </c>
      <c r="H351" s="61">
        <v>661.10500000000002</v>
      </c>
      <c r="I351" s="61">
        <v>9.8940000000000001</v>
      </c>
      <c r="J351" s="61">
        <v>9.8940000000000001</v>
      </c>
      <c r="K351" s="86">
        <v>0</v>
      </c>
      <c r="L351" s="86">
        <v>0</v>
      </c>
      <c r="M351" s="61">
        <v>0</v>
      </c>
      <c r="N351" s="61">
        <v>0</v>
      </c>
      <c r="O351" s="61">
        <v>0</v>
      </c>
      <c r="P351" s="61">
        <v>0</v>
      </c>
      <c r="Q351" s="61">
        <v>0</v>
      </c>
      <c r="R351" s="61">
        <v>0</v>
      </c>
      <c r="S351" s="61">
        <v>0</v>
      </c>
      <c r="T351" s="61">
        <v>0</v>
      </c>
      <c r="U351" s="61">
        <v>0</v>
      </c>
      <c r="V351" s="61">
        <v>0</v>
      </c>
      <c r="W351" s="61">
        <v>0</v>
      </c>
      <c r="X351" s="61">
        <v>0</v>
      </c>
      <c r="Y351" s="61">
        <v>0</v>
      </c>
      <c r="AA351" s="61">
        <v>0</v>
      </c>
      <c r="AB351" s="20"/>
      <c r="AD351" s="61">
        <v>0</v>
      </c>
      <c r="AE351" s="20"/>
    </row>
    <row r="352" spans="1:33" ht="18" customHeight="1" collapsed="1" x14ac:dyDescent="0.2">
      <c r="A352" s="30" t="s">
        <v>287</v>
      </c>
      <c r="B352" s="30" t="s">
        <v>17</v>
      </c>
      <c r="C352" s="4">
        <v>0</v>
      </c>
      <c r="D352" s="4">
        <v>0</v>
      </c>
      <c r="F352" s="107" t="s">
        <v>289</v>
      </c>
      <c r="H352" s="78">
        <v>0</v>
      </c>
      <c r="I352" s="78">
        <v>0</v>
      </c>
      <c r="J352" s="78">
        <v>0</v>
      </c>
      <c r="K352" s="87">
        <v>0</v>
      </c>
      <c r="L352" s="87">
        <v>0</v>
      </c>
      <c r="M352" s="78">
        <v>0</v>
      </c>
      <c r="N352" s="78">
        <v>0</v>
      </c>
      <c r="O352" s="78">
        <v>0</v>
      </c>
      <c r="P352" s="78">
        <v>0</v>
      </c>
      <c r="Q352" s="78">
        <v>0</v>
      </c>
      <c r="R352" s="78">
        <v>0</v>
      </c>
      <c r="S352" s="78">
        <v>0</v>
      </c>
      <c r="T352" s="78">
        <v>0</v>
      </c>
      <c r="U352" s="78">
        <v>0</v>
      </c>
      <c r="V352" s="78">
        <v>0</v>
      </c>
      <c r="W352" s="78">
        <v>0</v>
      </c>
      <c r="X352" s="78">
        <v>0</v>
      </c>
      <c r="Y352" s="78">
        <v>0</v>
      </c>
      <c r="AA352" s="78">
        <v>0</v>
      </c>
      <c r="AB352" s="20"/>
      <c r="AD352" s="78">
        <v>0</v>
      </c>
      <c r="AE352" s="20"/>
    </row>
    <row r="353" spans="1:31" ht="15" x14ac:dyDescent="0.2">
      <c r="A353" s="4"/>
      <c r="B353" s="4"/>
      <c r="C353" s="4"/>
      <c r="D353" s="4"/>
      <c r="F353" s="96"/>
      <c r="H353" s="16"/>
      <c r="I353" s="16"/>
      <c r="J353" s="16"/>
      <c r="K353" s="85"/>
      <c r="L353" s="85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AA353" s="16"/>
      <c r="AB353" s="20"/>
      <c r="AD353" s="16"/>
      <c r="AE353" s="20"/>
    </row>
    <row r="354" spans="1:31" ht="18" customHeight="1" x14ac:dyDescent="0.2">
      <c r="A354" s="30" t="s">
        <v>293</v>
      </c>
      <c r="B354" s="30" t="s">
        <v>17</v>
      </c>
      <c r="C354" s="4">
        <v>0</v>
      </c>
      <c r="D354" s="4">
        <v>0</v>
      </c>
      <c r="F354" s="106" t="s">
        <v>357</v>
      </c>
      <c r="H354" s="61">
        <v>0</v>
      </c>
      <c r="I354" s="61">
        <v>0</v>
      </c>
      <c r="J354" s="61">
        <v>0</v>
      </c>
      <c r="K354" s="88"/>
      <c r="L354" s="88"/>
      <c r="M354" s="61">
        <v>0</v>
      </c>
      <c r="N354" s="61">
        <v>0</v>
      </c>
      <c r="O354" s="61">
        <v>0</v>
      </c>
      <c r="P354" s="61">
        <v>0</v>
      </c>
      <c r="Q354" s="61">
        <v>0</v>
      </c>
      <c r="R354" s="61">
        <v>0</v>
      </c>
      <c r="S354" s="61">
        <v>0</v>
      </c>
      <c r="T354" s="61">
        <v>0</v>
      </c>
      <c r="U354" s="61">
        <v>0</v>
      </c>
      <c r="V354" s="61">
        <v>0</v>
      </c>
      <c r="W354" s="61">
        <v>0</v>
      </c>
      <c r="X354" s="61">
        <v>0</v>
      </c>
      <c r="Y354" s="61">
        <v>0</v>
      </c>
      <c r="AA354" s="16"/>
      <c r="AB354" s="20"/>
      <c r="AD354" s="16"/>
      <c r="AE354" s="20"/>
    </row>
    <row r="355" spans="1:31" ht="18" customHeight="1" x14ac:dyDescent="0.2">
      <c r="A355" s="30" t="s">
        <v>294</v>
      </c>
      <c r="B355" s="30" t="s">
        <v>17</v>
      </c>
      <c r="C355" s="4">
        <v>0</v>
      </c>
      <c r="D355" s="4">
        <v>0</v>
      </c>
      <c r="F355" s="106" t="s">
        <v>358</v>
      </c>
      <c r="H355" s="61">
        <v>0</v>
      </c>
      <c r="I355" s="61">
        <v>0</v>
      </c>
      <c r="J355" s="61">
        <v>0</v>
      </c>
      <c r="K355" s="88"/>
      <c r="L355" s="88"/>
      <c r="M355" s="61">
        <v>0</v>
      </c>
      <c r="N355" s="61">
        <v>0</v>
      </c>
      <c r="O355" s="61">
        <v>0</v>
      </c>
      <c r="P355" s="61">
        <v>0</v>
      </c>
      <c r="Q355" s="61">
        <v>0</v>
      </c>
      <c r="R355" s="61">
        <v>0</v>
      </c>
      <c r="S355" s="61">
        <v>0</v>
      </c>
      <c r="T355" s="61">
        <v>0</v>
      </c>
      <c r="U355" s="61">
        <v>0</v>
      </c>
      <c r="V355" s="61">
        <v>0</v>
      </c>
      <c r="W355" s="61">
        <v>0</v>
      </c>
      <c r="X355" s="61">
        <v>0</v>
      </c>
      <c r="Y355" s="61">
        <v>0</v>
      </c>
      <c r="AA355" s="16"/>
      <c r="AB355" s="20"/>
      <c r="AD355" s="16"/>
      <c r="AE355" s="20"/>
    </row>
    <row r="356" spans="1:31" ht="18" customHeight="1" x14ac:dyDescent="0.2">
      <c r="A356" s="30" t="s">
        <v>295</v>
      </c>
      <c r="B356" s="30" t="s">
        <v>17</v>
      </c>
      <c r="C356" s="4">
        <v>0</v>
      </c>
      <c r="D356" s="4">
        <v>0</v>
      </c>
      <c r="F356" s="106" t="s">
        <v>359</v>
      </c>
      <c r="H356" s="61">
        <v>0</v>
      </c>
      <c r="I356" s="61">
        <v>0</v>
      </c>
      <c r="J356" s="61">
        <v>0</v>
      </c>
      <c r="K356" s="88"/>
      <c r="L356" s="88"/>
      <c r="M356" s="61">
        <v>0</v>
      </c>
      <c r="N356" s="61">
        <v>0</v>
      </c>
      <c r="O356" s="61">
        <v>0</v>
      </c>
      <c r="P356" s="61">
        <v>0</v>
      </c>
      <c r="Q356" s="61">
        <v>0</v>
      </c>
      <c r="R356" s="61">
        <v>0</v>
      </c>
      <c r="S356" s="61">
        <v>0</v>
      </c>
      <c r="T356" s="61">
        <v>0</v>
      </c>
      <c r="U356" s="61">
        <v>0</v>
      </c>
      <c r="V356" s="61">
        <v>0</v>
      </c>
      <c r="W356" s="61">
        <v>0</v>
      </c>
      <c r="X356" s="61">
        <v>0</v>
      </c>
      <c r="Y356" s="61">
        <v>0</v>
      </c>
      <c r="AA356" s="16"/>
      <c r="AB356" s="20"/>
      <c r="AD356" s="16"/>
      <c r="AE356" s="20"/>
    </row>
    <row r="357" spans="1:31" ht="18" customHeight="1" x14ac:dyDescent="0.2">
      <c r="A357" s="30" t="s">
        <v>296</v>
      </c>
      <c r="B357" s="30" t="s">
        <v>17</v>
      </c>
      <c r="C357" s="4">
        <v>0</v>
      </c>
      <c r="D357" s="4">
        <v>0</v>
      </c>
      <c r="F357" s="106" t="s">
        <v>360</v>
      </c>
      <c r="H357" s="61">
        <v>0</v>
      </c>
      <c r="I357" s="61">
        <v>0</v>
      </c>
      <c r="J357" s="61">
        <v>0</v>
      </c>
      <c r="K357" s="88"/>
      <c r="L357" s="88"/>
      <c r="M357" s="61">
        <v>0</v>
      </c>
      <c r="N357" s="61">
        <v>0</v>
      </c>
      <c r="O357" s="61">
        <v>0</v>
      </c>
      <c r="P357" s="61">
        <v>0</v>
      </c>
      <c r="Q357" s="61">
        <v>0</v>
      </c>
      <c r="R357" s="61">
        <v>0</v>
      </c>
      <c r="S357" s="61">
        <v>0</v>
      </c>
      <c r="T357" s="61">
        <v>0</v>
      </c>
      <c r="U357" s="61">
        <v>0</v>
      </c>
      <c r="V357" s="61">
        <v>0</v>
      </c>
      <c r="W357" s="61">
        <v>0</v>
      </c>
      <c r="X357" s="61">
        <v>0</v>
      </c>
      <c r="Y357" s="61">
        <v>0</v>
      </c>
      <c r="AA357" s="16"/>
      <c r="AB357" s="20"/>
      <c r="AD357" s="16"/>
      <c r="AE357" s="20"/>
    </row>
    <row r="358" spans="1:31" ht="18" customHeight="1" x14ac:dyDescent="0.2">
      <c r="A358" s="30" t="s">
        <v>297</v>
      </c>
      <c r="B358" s="30" t="s">
        <v>17</v>
      </c>
      <c r="C358" s="4">
        <v>0</v>
      </c>
      <c r="D358" s="4">
        <v>0</v>
      </c>
      <c r="F358" s="106" t="s">
        <v>361</v>
      </c>
      <c r="H358" s="61">
        <v>0</v>
      </c>
      <c r="I358" s="61">
        <v>0</v>
      </c>
      <c r="J358" s="61">
        <v>0</v>
      </c>
      <c r="K358" s="88"/>
      <c r="L358" s="88"/>
      <c r="M358" s="61">
        <v>0</v>
      </c>
      <c r="N358" s="61">
        <v>0</v>
      </c>
      <c r="O358" s="61">
        <v>0</v>
      </c>
      <c r="P358" s="61">
        <v>0</v>
      </c>
      <c r="Q358" s="61">
        <v>0</v>
      </c>
      <c r="R358" s="61">
        <v>0</v>
      </c>
      <c r="S358" s="61">
        <v>0</v>
      </c>
      <c r="T358" s="61">
        <v>0</v>
      </c>
      <c r="U358" s="61">
        <v>0</v>
      </c>
      <c r="V358" s="61">
        <v>0</v>
      </c>
      <c r="W358" s="61">
        <v>0</v>
      </c>
      <c r="X358" s="61">
        <v>0</v>
      </c>
      <c r="Y358" s="61">
        <v>0</v>
      </c>
      <c r="AA358" s="16"/>
      <c r="AB358" s="20"/>
      <c r="AD358" s="16"/>
      <c r="AE358" s="20"/>
    </row>
    <row r="359" spans="1:31" ht="18" customHeight="1" collapsed="1" x14ac:dyDescent="0.2">
      <c r="A359" s="30" t="s">
        <v>292</v>
      </c>
      <c r="B359" s="30" t="s">
        <v>17</v>
      </c>
      <c r="C359" s="4">
        <v>0</v>
      </c>
      <c r="D359" s="4">
        <v>0</v>
      </c>
      <c r="F359" s="107" t="s">
        <v>362</v>
      </c>
      <c r="H359" s="79">
        <v>0</v>
      </c>
      <c r="I359" s="79">
        <v>0</v>
      </c>
      <c r="J359" s="79">
        <v>0</v>
      </c>
      <c r="K359" s="89"/>
      <c r="L359" s="89"/>
      <c r="M359" s="79">
        <v>0</v>
      </c>
      <c r="N359" s="79">
        <v>0</v>
      </c>
      <c r="O359" s="79">
        <v>0</v>
      </c>
      <c r="P359" s="79">
        <v>0</v>
      </c>
      <c r="Q359" s="79">
        <v>0</v>
      </c>
      <c r="R359" s="79">
        <v>0</v>
      </c>
      <c r="S359" s="79">
        <v>0</v>
      </c>
      <c r="T359" s="79">
        <v>0</v>
      </c>
      <c r="U359" s="79">
        <v>0</v>
      </c>
      <c r="V359" s="79">
        <v>0</v>
      </c>
      <c r="W359" s="79">
        <v>0</v>
      </c>
      <c r="X359" s="79">
        <v>0</v>
      </c>
      <c r="Y359" s="79">
        <v>0</v>
      </c>
      <c r="AA359" s="16"/>
      <c r="AB359" s="20"/>
      <c r="AD359" s="16"/>
      <c r="AE359" s="20"/>
    </row>
    <row r="360" spans="1:31" ht="15" x14ac:dyDescent="0.2">
      <c r="A360" s="4"/>
      <c r="B360" s="4"/>
      <c r="C360" s="4"/>
      <c r="D360" s="4"/>
      <c r="F360" s="96"/>
      <c r="H360" s="16"/>
      <c r="I360" s="16"/>
      <c r="J360" s="16"/>
      <c r="K360" s="85"/>
      <c r="L360" s="85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AA360" s="16"/>
      <c r="AB360" s="20"/>
      <c r="AD360" s="16"/>
      <c r="AE360" s="20"/>
    </row>
    <row r="361" spans="1:31" ht="18" hidden="1" customHeight="1" outlineLevel="1" x14ac:dyDescent="0.2">
      <c r="A361" s="30" t="s">
        <v>112</v>
      </c>
      <c r="B361" s="30" t="s">
        <v>17</v>
      </c>
      <c r="C361" s="4">
        <v>0</v>
      </c>
      <c r="D361" s="4">
        <v>0</v>
      </c>
      <c r="F361" s="50" t="s">
        <v>113</v>
      </c>
      <c r="H361" s="60">
        <v>0</v>
      </c>
      <c r="I361" s="60">
        <v>0</v>
      </c>
      <c r="J361" s="60">
        <v>0</v>
      </c>
      <c r="K361" s="90">
        <v>0</v>
      </c>
      <c r="L361" s="90">
        <v>0</v>
      </c>
      <c r="M361" s="60">
        <v>0</v>
      </c>
      <c r="N361" s="60">
        <v>0</v>
      </c>
      <c r="O361" s="60">
        <v>0</v>
      </c>
      <c r="P361" s="60">
        <v>0</v>
      </c>
      <c r="Q361" s="60">
        <v>0</v>
      </c>
      <c r="R361" s="60">
        <v>0</v>
      </c>
      <c r="S361" s="60">
        <v>0</v>
      </c>
      <c r="T361" s="60">
        <v>0</v>
      </c>
      <c r="U361" s="60">
        <v>0</v>
      </c>
      <c r="V361" s="60">
        <v>0</v>
      </c>
      <c r="W361" s="60">
        <v>0</v>
      </c>
      <c r="X361" s="60">
        <v>0</v>
      </c>
      <c r="Y361" s="60">
        <v>0</v>
      </c>
      <c r="AA361" s="60">
        <v>0</v>
      </c>
      <c r="AB361" s="60">
        <v>0</v>
      </c>
      <c r="AD361" s="60">
        <v>0</v>
      </c>
      <c r="AE361" s="60">
        <v>0</v>
      </c>
    </row>
    <row r="362" spans="1:31" ht="12.95" hidden="1" customHeight="1" outlineLevel="1" x14ac:dyDescent="0.2">
      <c r="A362" s="35"/>
      <c r="B362" s="35"/>
      <c r="C362" s="4"/>
      <c r="D362" s="4"/>
      <c r="F362" s="51" t="s">
        <v>114</v>
      </c>
      <c r="H362" s="80">
        <v>0</v>
      </c>
      <c r="I362" s="80">
        <v>0</v>
      </c>
      <c r="J362" s="80">
        <v>0</v>
      </c>
      <c r="K362" s="91">
        <v>0</v>
      </c>
      <c r="L362" s="91">
        <v>0</v>
      </c>
      <c r="M362" s="80">
        <v>0</v>
      </c>
      <c r="N362" s="80">
        <v>0</v>
      </c>
      <c r="O362" s="80">
        <v>0</v>
      </c>
      <c r="P362" s="80">
        <v>0</v>
      </c>
      <c r="Q362" s="80">
        <v>0</v>
      </c>
      <c r="R362" s="80">
        <v>0</v>
      </c>
      <c r="S362" s="80">
        <v>0</v>
      </c>
      <c r="T362" s="80">
        <v>0</v>
      </c>
      <c r="U362" s="80">
        <v>0</v>
      </c>
      <c r="V362" s="80">
        <v>0</v>
      </c>
      <c r="W362" s="80">
        <v>0</v>
      </c>
      <c r="X362" s="80">
        <v>0</v>
      </c>
      <c r="Y362" s="80">
        <v>0</v>
      </c>
      <c r="AA362" s="80">
        <v>0</v>
      </c>
      <c r="AB362" s="69"/>
      <c r="AD362" s="80">
        <v>0</v>
      </c>
      <c r="AE362" s="69"/>
    </row>
    <row r="363" spans="1:31" ht="18" hidden="1" customHeight="1" outlineLevel="1" x14ac:dyDescent="0.2">
      <c r="A363" s="33" t="s">
        <v>100</v>
      </c>
      <c r="B363" s="33" t="s">
        <v>17</v>
      </c>
      <c r="C363" s="4"/>
      <c r="D363" s="4"/>
      <c r="F363" s="38" t="s">
        <v>103</v>
      </c>
      <c r="H363" s="66">
        <v>0</v>
      </c>
      <c r="I363" s="66">
        <v>0</v>
      </c>
      <c r="J363" s="66">
        <v>0</v>
      </c>
      <c r="K363" s="86">
        <v>0</v>
      </c>
      <c r="L363" s="86">
        <v>0</v>
      </c>
      <c r="M363" s="66">
        <v>0</v>
      </c>
      <c r="N363" s="66">
        <v>0</v>
      </c>
      <c r="O363" s="66">
        <v>0</v>
      </c>
      <c r="P363" s="66">
        <v>0</v>
      </c>
      <c r="Q363" s="66">
        <v>0</v>
      </c>
      <c r="R363" s="66">
        <v>0</v>
      </c>
      <c r="S363" s="66">
        <v>0</v>
      </c>
      <c r="T363" s="66">
        <v>0</v>
      </c>
      <c r="U363" s="66">
        <v>0</v>
      </c>
      <c r="V363" s="66">
        <v>0</v>
      </c>
      <c r="W363" s="66">
        <v>0</v>
      </c>
      <c r="X363" s="66">
        <v>0</v>
      </c>
      <c r="Y363" s="66">
        <v>0</v>
      </c>
      <c r="AA363" s="66">
        <v>0</v>
      </c>
      <c r="AB363" s="60">
        <v>0</v>
      </c>
      <c r="AD363" s="66">
        <v>0</v>
      </c>
      <c r="AE363" s="60">
        <v>0</v>
      </c>
    </row>
    <row r="364" spans="1:31" ht="18" hidden="1" customHeight="1" outlineLevel="1" x14ac:dyDescent="0.2">
      <c r="A364" s="33" t="s">
        <v>101</v>
      </c>
      <c r="B364" s="33" t="s">
        <v>102</v>
      </c>
      <c r="C364" s="4"/>
      <c r="D364" s="4"/>
      <c r="F364" s="38" t="s">
        <v>104</v>
      </c>
      <c r="H364" s="66">
        <v>0</v>
      </c>
      <c r="I364" s="66">
        <v>0</v>
      </c>
      <c r="J364" s="66">
        <v>0</v>
      </c>
      <c r="K364" s="86">
        <v>0</v>
      </c>
      <c r="L364" s="86">
        <v>0</v>
      </c>
      <c r="M364" s="66">
        <v>0</v>
      </c>
      <c r="N364" s="66">
        <v>0</v>
      </c>
      <c r="O364" s="66">
        <v>0</v>
      </c>
      <c r="P364" s="66">
        <v>0</v>
      </c>
      <c r="Q364" s="66">
        <v>0</v>
      </c>
      <c r="R364" s="66">
        <v>0</v>
      </c>
      <c r="S364" s="66">
        <v>0</v>
      </c>
      <c r="T364" s="66">
        <v>0</v>
      </c>
      <c r="U364" s="66">
        <v>0</v>
      </c>
      <c r="V364" s="66">
        <v>0</v>
      </c>
      <c r="W364" s="66">
        <v>0</v>
      </c>
      <c r="X364" s="66">
        <v>0</v>
      </c>
      <c r="Y364" s="66">
        <v>0</v>
      </c>
      <c r="AA364" s="66">
        <v>0</v>
      </c>
      <c r="AB364" s="60">
        <v>0</v>
      </c>
      <c r="AD364" s="66">
        <v>0</v>
      </c>
      <c r="AE364" s="60">
        <v>0</v>
      </c>
    </row>
    <row r="365" spans="1:31" ht="18" customHeight="1" collapsed="1" x14ac:dyDescent="0.2">
      <c r="A365" s="32"/>
      <c r="B365" s="32"/>
      <c r="C365" s="4">
        <v>0</v>
      </c>
      <c r="D365" s="4">
        <v>0</v>
      </c>
      <c r="F365" s="107" t="s">
        <v>105</v>
      </c>
      <c r="G365" s="7"/>
      <c r="H365" s="58">
        <v>0</v>
      </c>
      <c r="I365" s="58">
        <v>0</v>
      </c>
      <c r="J365" s="58">
        <v>0</v>
      </c>
      <c r="K365" s="92">
        <v>0</v>
      </c>
      <c r="L365" s="92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AA365" s="58">
        <v>0</v>
      </c>
      <c r="AB365" s="60">
        <v>0</v>
      </c>
      <c r="AD365" s="58">
        <v>0</v>
      </c>
      <c r="AE365" s="60">
        <v>0</v>
      </c>
    </row>
    <row r="366" spans="1:31" ht="18" customHeight="1" x14ac:dyDescent="0.2">
      <c r="A366" s="32"/>
      <c r="B366" s="32"/>
      <c r="C366" s="4"/>
      <c r="D366" s="4"/>
      <c r="F366" s="191" t="s">
        <v>402</v>
      </c>
      <c r="G366" s="7"/>
      <c r="H366" s="194">
        <v>0</v>
      </c>
      <c r="I366" s="194">
        <v>0</v>
      </c>
      <c r="J366" s="194">
        <v>0</v>
      </c>
      <c r="K366" s="194">
        <v>0</v>
      </c>
      <c r="L366" s="194">
        <v>0</v>
      </c>
      <c r="M366" s="194">
        <v>0</v>
      </c>
      <c r="N366" s="194">
        <v>0</v>
      </c>
      <c r="O366" s="194">
        <v>0</v>
      </c>
      <c r="P366" s="194">
        <v>0</v>
      </c>
      <c r="Q366" s="194">
        <v>0</v>
      </c>
      <c r="R366" s="194">
        <v>0</v>
      </c>
      <c r="S366" s="194">
        <v>0</v>
      </c>
      <c r="T366" s="194">
        <v>0</v>
      </c>
      <c r="U366" s="194">
        <v>0</v>
      </c>
      <c r="V366" s="194">
        <v>0</v>
      </c>
      <c r="W366" s="194">
        <v>0</v>
      </c>
      <c r="X366" s="194">
        <v>0</v>
      </c>
      <c r="Y366" s="194">
        <v>0</v>
      </c>
      <c r="AA366" s="20"/>
      <c r="AB366" s="190"/>
      <c r="AD366" s="190"/>
      <c r="AE366" s="190"/>
    </row>
    <row r="367" spans="1:31" ht="18" hidden="1" customHeight="1" outlineLevel="1" x14ac:dyDescent="0.2">
      <c r="A367" s="192" t="s">
        <v>101</v>
      </c>
      <c r="B367" s="192" t="s">
        <v>403</v>
      </c>
      <c r="C367" s="4"/>
      <c r="D367" s="4"/>
      <c r="F367" s="193" t="s">
        <v>404</v>
      </c>
      <c r="G367" s="7"/>
      <c r="H367" s="66">
        <v>0</v>
      </c>
      <c r="I367" s="66">
        <v>0</v>
      </c>
      <c r="J367" s="66">
        <v>0</v>
      </c>
      <c r="K367" s="86">
        <v>0</v>
      </c>
      <c r="L367" s="86">
        <v>0</v>
      </c>
      <c r="M367" s="66">
        <v>0</v>
      </c>
      <c r="N367" s="66">
        <v>0</v>
      </c>
      <c r="O367" s="66">
        <v>0</v>
      </c>
      <c r="P367" s="66">
        <v>0</v>
      </c>
      <c r="Q367" s="66">
        <v>0</v>
      </c>
      <c r="R367" s="66">
        <v>0</v>
      </c>
      <c r="S367" s="66">
        <v>0</v>
      </c>
      <c r="T367" s="66">
        <v>0</v>
      </c>
      <c r="U367" s="66">
        <v>0</v>
      </c>
      <c r="V367" s="66">
        <v>0</v>
      </c>
      <c r="W367" s="66">
        <v>0</v>
      </c>
      <c r="X367" s="66">
        <v>0</v>
      </c>
      <c r="Y367" s="66">
        <v>0</v>
      </c>
      <c r="AA367" s="20"/>
      <c r="AB367" s="190"/>
      <c r="AD367" s="189"/>
      <c r="AE367" s="190"/>
    </row>
    <row r="368" spans="1:31" ht="18" hidden="1" customHeight="1" outlineLevel="1" x14ac:dyDescent="0.2">
      <c r="A368" s="192" t="s">
        <v>405</v>
      </c>
      <c r="B368" s="192" t="s">
        <v>17</v>
      </c>
      <c r="C368" s="4"/>
      <c r="D368" s="4"/>
      <c r="F368" s="193" t="s">
        <v>406</v>
      </c>
      <c r="G368" s="7"/>
      <c r="H368" s="66">
        <v>0</v>
      </c>
      <c r="I368" s="66">
        <v>0</v>
      </c>
      <c r="J368" s="66">
        <v>0</v>
      </c>
      <c r="K368" s="86">
        <v>0</v>
      </c>
      <c r="L368" s="86">
        <v>0</v>
      </c>
      <c r="M368" s="66">
        <v>0</v>
      </c>
      <c r="N368" s="66">
        <v>0</v>
      </c>
      <c r="O368" s="66">
        <v>0</v>
      </c>
      <c r="P368" s="66">
        <v>0</v>
      </c>
      <c r="Q368" s="66">
        <v>0</v>
      </c>
      <c r="R368" s="66">
        <v>0</v>
      </c>
      <c r="S368" s="66">
        <v>0</v>
      </c>
      <c r="T368" s="66">
        <v>0</v>
      </c>
      <c r="U368" s="66">
        <v>0</v>
      </c>
      <c r="V368" s="66">
        <v>0</v>
      </c>
      <c r="W368" s="66">
        <v>0</v>
      </c>
      <c r="X368" s="66">
        <v>0</v>
      </c>
      <c r="Y368" s="66">
        <v>0</v>
      </c>
      <c r="AA368" s="20"/>
      <c r="AB368" s="190"/>
      <c r="AD368" s="189"/>
      <c r="AE368" s="190"/>
    </row>
    <row r="369" spans="1:33" ht="18" customHeight="1" collapsed="1" x14ac:dyDescent="0.2">
      <c r="A369" s="32"/>
      <c r="B369" s="32"/>
      <c r="C369" s="4"/>
      <c r="D369" s="4"/>
      <c r="F369" s="191" t="s">
        <v>407</v>
      </c>
      <c r="G369" s="7"/>
      <c r="H369" s="194">
        <v>0</v>
      </c>
      <c r="I369" s="194">
        <v>0</v>
      </c>
      <c r="J369" s="194">
        <v>0</v>
      </c>
      <c r="K369" s="194">
        <v>0</v>
      </c>
      <c r="L369" s="194">
        <v>0</v>
      </c>
      <c r="M369" s="194">
        <v>0</v>
      </c>
      <c r="N369" s="194">
        <v>0</v>
      </c>
      <c r="O369" s="194">
        <v>0</v>
      </c>
      <c r="P369" s="194">
        <v>0</v>
      </c>
      <c r="Q369" s="194">
        <v>0</v>
      </c>
      <c r="R369" s="194">
        <v>0</v>
      </c>
      <c r="S369" s="194">
        <v>0</v>
      </c>
      <c r="T369" s="194">
        <v>0</v>
      </c>
      <c r="U369" s="194">
        <v>0</v>
      </c>
      <c r="V369" s="194">
        <v>0</v>
      </c>
      <c r="W369" s="194">
        <v>0</v>
      </c>
      <c r="X369" s="194">
        <v>0</v>
      </c>
      <c r="Y369" s="194">
        <v>0</v>
      </c>
      <c r="AA369" s="20"/>
      <c r="AB369" s="190"/>
      <c r="AD369" s="190"/>
      <c r="AE369" s="190"/>
    </row>
    <row r="370" spans="1:33" ht="18" customHeight="1" x14ac:dyDescent="0.2">
      <c r="A370" s="30" t="s">
        <v>106</v>
      </c>
      <c r="B370" s="30" t="s">
        <v>17</v>
      </c>
      <c r="C370" s="4"/>
      <c r="D370" s="4"/>
      <c r="F370" s="106" t="s">
        <v>108</v>
      </c>
      <c r="H370" s="61">
        <v>0</v>
      </c>
      <c r="I370" s="61">
        <v>0</v>
      </c>
      <c r="J370" s="61">
        <v>0</v>
      </c>
      <c r="K370" s="86"/>
      <c r="L370" s="86"/>
      <c r="M370" s="61">
        <v>0</v>
      </c>
      <c r="N370" s="61">
        <v>0</v>
      </c>
      <c r="O370" s="61">
        <v>0</v>
      </c>
      <c r="P370" s="61">
        <v>0</v>
      </c>
      <c r="Q370" s="61">
        <v>0</v>
      </c>
      <c r="R370" s="61">
        <v>0</v>
      </c>
      <c r="S370" s="61">
        <v>0</v>
      </c>
      <c r="T370" s="61">
        <v>0</v>
      </c>
      <c r="U370" s="61">
        <v>0</v>
      </c>
      <c r="V370" s="61">
        <v>0</v>
      </c>
      <c r="W370" s="61">
        <v>0</v>
      </c>
      <c r="X370" s="61">
        <v>0</v>
      </c>
      <c r="Y370" s="61">
        <v>0</v>
      </c>
      <c r="AA370" s="20"/>
      <c r="AB370" s="16"/>
      <c r="AD370" s="20"/>
      <c r="AE370" s="16"/>
    </row>
    <row r="371" spans="1:33" ht="18" customHeight="1" x14ac:dyDescent="0.2">
      <c r="A371" s="30" t="s">
        <v>107</v>
      </c>
      <c r="B371" s="30" t="s">
        <v>17</v>
      </c>
      <c r="C371" s="4"/>
      <c r="D371" s="4"/>
      <c r="F371" s="106" t="s">
        <v>109</v>
      </c>
      <c r="H371" s="61">
        <v>0</v>
      </c>
      <c r="I371" s="61">
        <v>0</v>
      </c>
      <c r="J371" s="61">
        <v>0</v>
      </c>
      <c r="K371" s="86"/>
      <c r="L371" s="86"/>
      <c r="M371" s="61">
        <v>0</v>
      </c>
      <c r="N371" s="61">
        <v>0</v>
      </c>
      <c r="O371" s="61">
        <v>0</v>
      </c>
      <c r="P371" s="61">
        <v>0</v>
      </c>
      <c r="Q371" s="61">
        <v>0</v>
      </c>
      <c r="R371" s="61">
        <v>0</v>
      </c>
      <c r="S371" s="61">
        <v>0</v>
      </c>
      <c r="T371" s="61">
        <v>0</v>
      </c>
      <c r="U371" s="61">
        <v>0</v>
      </c>
      <c r="V371" s="61">
        <v>0</v>
      </c>
      <c r="W371" s="61">
        <v>0</v>
      </c>
      <c r="X371" s="61">
        <v>0</v>
      </c>
      <c r="Y371" s="61">
        <v>0</v>
      </c>
      <c r="AA371" s="20"/>
      <c r="AB371" s="16"/>
      <c r="AD371" s="20"/>
      <c r="AE371" s="16"/>
    </row>
    <row r="372" spans="1:33" ht="18" customHeight="1" x14ac:dyDescent="0.2">
      <c r="A372" s="30"/>
      <c r="B372" s="30"/>
      <c r="C372" s="4"/>
      <c r="D372" s="4"/>
      <c r="F372" s="106" t="s">
        <v>110</v>
      </c>
      <c r="H372" s="61">
        <v>0</v>
      </c>
      <c r="I372" s="61">
        <v>0</v>
      </c>
      <c r="J372" s="61">
        <v>0</v>
      </c>
      <c r="K372" s="86"/>
      <c r="L372" s="86"/>
      <c r="M372" s="61">
        <v>0</v>
      </c>
      <c r="N372" s="61">
        <v>0</v>
      </c>
      <c r="O372" s="61">
        <v>0</v>
      </c>
      <c r="P372" s="61">
        <v>0</v>
      </c>
      <c r="Q372" s="61">
        <v>0</v>
      </c>
      <c r="R372" s="61">
        <v>0</v>
      </c>
      <c r="S372" s="61">
        <v>0</v>
      </c>
      <c r="T372" s="61">
        <v>0</v>
      </c>
      <c r="U372" s="61">
        <v>0</v>
      </c>
      <c r="V372" s="61">
        <v>0</v>
      </c>
      <c r="W372" s="61">
        <v>0</v>
      </c>
      <c r="X372" s="61">
        <v>0</v>
      </c>
      <c r="Y372" s="61">
        <v>0</v>
      </c>
      <c r="AA372" s="20"/>
      <c r="AB372" s="16"/>
      <c r="AD372" s="20"/>
      <c r="AE372" s="16"/>
    </row>
    <row r="373" spans="1:33" ht="18" customHeight="1" collapsed="1" x14ac:dyDescent="0.2">
      <c r="A373" s="32"/>
      <c r="B373" s="32"/>
      <c r="C373" s="4">
        <v>0</v>
      </c>
      <c r="D373" s="4">
        <v>0</v>
      </c>
      <c r="F373" s="107" t="s">
        <v>111</v>
      </c>
      <c r="H373" s="58">
        <v>0</v>
      </c>
      <c r="I373" s="58">
        <v>0</v>
      </c>
      <c r="J373" s="58">
        <v>0</v>
      </c>
      <c r="K373" s="92">
        <v>0</v>
      </c>
      <c r="L373" s="92">
        <v>0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AA373" s="58">
        <v>0</v>
      </c>
      <c r="AB373" s="60">
        <v>0</v>
      </c>
      <c r="AD373" s="58">
        <v>0</v>
      </c>
      <c r="AE373" s="60">
        <v>0</v>
      </c>
    </row>
    <row r="374" spans="1:33" ht="15" x14ac:dyDescent="0.2">
      <c r="A374" s="4"/>
      <c r="B374" s="4"/>
      <c r="C374" s="4"/>
      <c r="D374" s="4"/>
      <c r="F374" s="96"/>
      <c r="H374" s="16"/>
      <c r="I374" s="16"/>
      <c r="J374" s="16"/>
      <c r="K374" s="85"/>
      <c r="L374" s="85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AA374" s="16"/>
      <c r="AB374" s="8"/>
      <c r="AD374" s="16"/>
      <c r="AE374" s="8"/>
    </row>
    <row r="375" spans="1:33" ht="15" x14ac:dyDescent="0.2">
      <c r="F375" s="102" t="s">
        <v>370</v>
      </c>
      <c r="H375" s="81">
        <v>0</v>
      </c>
      <c r="I375" s="81">
        <v>0</v>
      </c>
      <c r="J375" s="81">
        <v>0</v>
      </c>
      <c r="K375" s="83">
        <v>0</v>
      </c>
      <c r="L375" s="83">
        <v>0</v>
      </c>
      <c r="M375" s="81">
        <v>0</v>
      </c>
      <c r="N375" s="81">
        <v>0</v>
      </c>
      <c r="O375" s="81">
        <v>0</v>
      </c>
      <c r="P375" s="81">
        <v>0</v>
      </c>
      <c r="Q375" s="81">
        <v>0</v>
      </c>
      <c r="R375" s="81">
        <v>0</v>
      </c>
      <c r="S375" s="81">
        <v>0</v>
      </c>
      <c r="T375" s="81">
        <v>0</v>
      </c>
      <c r="U375" s="81">
        <v>0</v>
      </c>
      <c r="V375" s="81">
        <v>0</v>
      </c>
      <c r="W375" s="81">
        <v>0</v>
      </c>
      <c r="X375" s="81">
        <v>0</v>
      </c>
      <c r="Y375" s="81">
        <v>0</v>
      </c>
      <c r="AA375" s="81">
        <v>0</v>
      </c>
      <c r="AB375" s="8"/>
      <c r="AD375" s="81">
        <v>0</v>
      </c>
      <c r="AE375" s="8"/>
    </row>
    <row r="376" spans="1:33" ht="15" x14ac:dyDescent="0.2">
      <c r="F376" s="102" t="s">
        <v>371</v>
      </c>
      <c r="H376" s="81">
        <v>0</v>
      </c>
      <c r="I376" s="81">
        <v>0</v>
      </c>
      <c r="J376" s="81">
        <v>0</v>
      </c>
      <c r="K376" s="83">
        <v>0</v>
      </c>
      <c r="L376" s="83">
        <v>0</v>
      </c>
      <c r="M376" s="81">
        <v>0</v>
      </c>
      <c r="N376" s="81">
        <v>0</v>
      </c>
      <c r="O376" s="81">
        <v>0</v>
      </c>
      <c r="P376" s="81">
        <v>0</v>
      </c>
      <c r="Q376" s="81">
        <v>0</v>
      </c>
      <c r="R376" s="81">
        <v>0</v>
      </c>
      <c r="S376" s="81">
        <v>0</v>
      </c>
      <c r="T376" s="81">
        <v>0</v>
      </c>
      <c r="U376" s="81">
        <v>0</v>
      </c>
      <c r="V376" s="81">
        <v>0</v>
      </c>
      <c r="W376" s="81">
        <v>0</v>
      </c>
      <c r="X376" s="81">
        <v>0</v>
      </c>
      <c r="Y376" s="81">
        <v>0</v>
      </c>
      <c r="AA376" s="81">
        <v>0</v>
      </c>
      <c r="AB376" s="8"/>
      <c r="AD376" s="81">
        <v>0</v>
      </c>
      <c r="AE376" s="8"/>
    </row>
    <row r="377" spans="1:33" s="11" customFormat="1" ht="15" x14ac:dyDescent="0.2">
      <c r="A377" s="8"/>
      <c r="B377" s="8"/>
      <c r="C377" s="8"/>
      <c r="D377" s="8"/>
      <c r="E377" s="8"/>
      <c r="F377" s="103"/>
      <c r="G377" s="8"/>
      <c r="H377" s="82"/>
      <c r="I377" s="16"/>
      <c r="J377" s="16"/>
      <c r="K377" s="84"/>
      <c r="L377" s="84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8"/>
      <c r="AA377" s="16"/>
      <c r="AB377" s="8"/>
      <c r="AC377" s="8"/>
      <c r="AD377" s="16"/>
      <c r="AE377" s="8"/>
      <c r="AF377" s="8"/>
      <c r="AG377" s="8"/>
    </row>
    <row r="378" spans="1:33" s="11" customFormat="1" ht="15" x14ac:dyDescent="0.2">
      <c r="A378" s="8"/>
      <c r="B378" s="8"/>
      <c r="C378" s="8"/>
      <c r="D378" s="8"/>
      <c r="E378" s="8"/>
      <c r="F378" s="102" t="s">
        <v>356</v>
      </c>
      <c r="G378" s="8"/>
      <c r="H378" s="81">
        <v>0</v>
      </c>
      <c r="I378" s="81">
        <v>0</v>
      </c>
      <c r="J378" s="81">
        <v>0</v>
      </c>
      <c r="K378" s="83">
        <v>0</v>
      </c>
      <c r="L378" s="83">
        <v>0</v>
      </c>
      <c r="M378" s="81">
        <v>0</v>
      </c>
      <c r="N378" s="81">
        <v>0</v>
      </c>
      <c r="O378" s="81">
        <v>0</v>
      </c>
      <c r="P378" s="81">
        <v>0</v>
      </c>
      <c r="Q378" s="81">
        <v>0</v>
      </c>
      <c r="R378" s="81">
        <v>0</v>
      </c>
      <c r="S378" s="81">
        <v>0</v>
      </c>
      <c r="T378" s="81">
        <v>0</v>
      </c>
      <c r="U378" s="81">
        <v>0</v>
      </c>
      <c r="V378" s="81">
        <v>0</v>
      </c>
      <c r="W378" s="81">
        <v>0</v>
      </c>
      <c r="X378" s="81">
        <v>0</v>
      </c>
      <c r="Y378" s="81">
        <v>0</v>
      </c>
      <c r="Z378" s="8"/>
      <c r="AA378" s="81">
        <v>0</v>
      </c>
      <c r="AB378" s="8"/>
      <c r="AC378" s="8"/>
      <c r="AD378" s="81">
        <v>0</v>
      </c>
      <c r="AE378" s="8"/>
      <c r="AF378" s="8"/>
      <c r="AG378" s="8"/>
    </row>
    <row r="379" spans="1:33" ht="15" x14ac:dyDescent="0.2">
      <c r="F379" s="96"/>
      <c r="H379" s="16"/>
      <c r="I379" s="16"/>
      <c r="J379" s="16"/>
      <c r="K379" s="85"/>
      <c r="L379" s="85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AA379" s="16"/>
      <c r="AB379" s="8"/>
      <c r="AD379" s="16"/>
      <c r="AE379" s="8"/>
    </row>
    <row r="380" spans="1:33" s="11" customFormat="1" ht="15" x14ac:dyDescent="0.2">
      <c r="A380" s="8"/>
      <c r="B380" s="8"/>
      <c r="C380" s="8"/>
      <c r="D380" s="8"/>
      <c r="E380" s="8"/>
      <c r="F380" s="102" t="s">
        <v>254</v>
      </c>
      <c r="G380" s="8"/>
      <c r="H380" s="81">
        <v>0</v>
      </c>
      <c r="I380" s="81">
        <v>0</v>
      </c>
      <c r="J380" s="81">
        <v>0</v>
      </c>
      <c r="K380" s="83">
        <v>0</v>
      </c>
      <c r="L380" s="83">
        <v>0</v>
      </c>
      <c r="M380" s="81">
        <v>0</v>
      </c>
      <c r="N380" s="81">
        <v>0</v>
      </c>
      <c r="O380" s="81">
        <v>0</v>
      </c>
      <c r="P380" s="81">
        <v>0</v>
      </c>
      <c r="Q380" s="81">
        <v>0</v>
      </c>
      <c r="R380" s="81">
        <v>0</v>
      </c>
      <c r="S380" s="81">
        <v>0</v>
      </c>
      <c r="T380" s="81">
        <v>0</v>
      </c>
      <c r="U380" s="81">
        <v>0</v>
      </c>
      <c r="V380" s="81">
        <v>0</v>
      </c>
      <c r="W380" s="81">
        <v>0</v>
      </c>
      <c r="X380" s="81">
        <v>0</v>
      </c>
      <c r="Y380" s="81">
        <v>0</v>
      </c>
      <c r="Z380" s="8"/>
      <c r="AA380" s="81">
        <v>0</v>
      </c>
      <c r="AB380" s="8"/>
      <c r="AC380" s="8"/>
      <c r="AD380" s="81">
        <v>0</v>
      </c>
      <c r="AE380" s="8"/>
      <c r="AF380" s="8"/>
      <c r="AG380" s="8"/>
    </row>
    <row r="381" spans="1:33" s="11" customFormat="1" ht="15" x14ac:dyDescent="0.2">
      <c r="A381" s="8"/>
      <c r="B381" s="8"/>
      <c r="C381" s="8"/>
      <c r="D381" s="8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8"/>
      <c r="AC381" s="20"/>
      <c r="AD381" s="20"/>
      <c r="AE381" s="8"/>
      <c r="AF381" s="8"/>
      <c r="AG381" s="8"/>
    </row>
    <row r="382" spans="1:33" s="11" customFormat="1" x14ac:dyDescent="0.2">
      <c r="A382" s="42" t="s">
        <v>30</v>
      </c>
      <c r="B382" s="42" t="s">
        <v>17</v>
      </c>
      <c r="C382" s="8"/>
      <c r="D382" s="8"/>
      <c r="E382" s="8"/>
      <c r="F382" s="43" t="s">
        <v>253</v>
      </c>
      <c r="G382" s="8"/>
      <c r="H382" s="44">
        <v>0</v>
      </c>
      <c r="I382" s="44">
        <v>0</v>
      </c>
      <c r="J382" s="44">
        <v>0</v>
      </c>
      <c r="K382" s="44">
        <v>0</v>
      </c>
      <c r="L382" s="44">
        <v>0</v>
      </c>
      <c r="M382" s="44">
        <v>0</v>
      </c>
      <c r="N382" s="44">
        <v>-5.5511151231257827E-17</v>
      </c>
      <c r="O382" s="44">
        <v>8.8817841970012523E-16</v>
      </c>
      <c r="P382" s="44">
        <v>8.8817841970012523E-16</v>
      </c>
      <c r="Q382" s="44">
        <v>1.7763568394002505E-15</v>
      </c>
      <c r="R382" s="44">
        <v>1.7763568394002505E-15</v>
      </c>
      <c r="S382" s="44">
        <v>1.7763568394002505E-15</v>
      </c>
      <c r="T382" s="44">
        <v>1.7763568394002505E-15</v>
      </c>
      <c r="U382" s="44">
        <v>2.6645352591003757E-15</v>
      </c>
      <c r="V382" s="44">
        <v>-7.1054273576010019E-15</v>
      </c>
      <c r="W382" s="44">
        <v>-7.1054273576010019E-15</v>
      </c>
      <c r="X382" s="44">
        <v>3.5527136788005009E-15</v>
      </c>
      <c r="Y382" s="44">
        <v>0</v>
      </c>
      <c r="Z382" s="8"/>
      <c r="AA382" s="8"/>
      <c r="AB382" s="8"/>
      <c r="AC382" s="8"/>
      <c r="AD382" s="8"/>
      <c r="AE382" s="8"/>
      <c r="AF382" s="8"/>
      <c r="AG382" s="8"/>
    </row>
    <row r="383" spans="1:33" s="2" customFormat="1" ht="12.75" x14ac:dyDescent="0.2">
      <c r="F383" s="1"/>
      <c r="K383" s="49"/>
      <c r="L383" s="49"/>
      <c r="AB383" s="8"/>
      <c r="AE383" s="8"/>
    </row>
    <row r="384" spans="1:33" s="11" customFormat="1" x14ac:dyDescent="0.2">
      <c r="A384" s="8"/>
      <c r="B384" s="8"/>
      <c r="C384" s="8"/>
      <c r="D384" s="8"/>
      <c r="F384" s="11" t="s">
        <v>315</v>
      </c>
      <c r="M384" s="125" t="s">
        <v>388</v>
      </c>
      <c r="N384" s="125" t="s">
        <v>364</v>
      </c>
      <c r="O384" s="125" t="s">
        <v>316</v>
      </c>
      <c r="P384" s="125" t="s">
        <v>317</v>
      </c>
      <c r="Q384" s="125" t="s">
        <v>318</v>
      </c>
      <c r="R384" s="125" t="s">
        <v>319</v>
      </c>
      <c r="S384" s="125" t="s">
        <v>365</v>
      </c>
      <c r="T384" s="125" t="s">
        <v>320</v>
      </c>
      <c r="U384" s="125" t="s">
        <v>366</v>
      </c>
      <c r="V384" s="125" t="s">
        <v>367</v>
      </c>
      <c r="W384" s="125" t="s">
        <v>368</v>
      </c>
      <c r="X384" s="125" t="s">
        <v>369</v>
      </c>
      <c r="AB384" s="8"/>
      <c r="AE384" s="8"/>
      <c r="AF384" s="8"/>
      <c r="AG384" s="8"/>
    </row>
    <row r="385" spans="1:33" s="11" customFormat="1" x14ac:dyDescent="0.2">
      <c r="A385" s="8"/>
      <c r="B385" s="8"/>
      <c r="C385" s="8"/>
      <c r="D385" s="8"/>
      <c r="M385" s="126" t="s">
        <v>5</v>
      </c>
      <c r="N385" s="126" t="s">
        <v>6</v>
      </c>
      <c r="O385" s="126" t="s">
        <v>7</v>
      </c>
      <c r="P385" s="126" t="s">
        <v>8</v>
      </c>
      <c r="Q385" s="126" t="s">
        <v>9</v>
      </c>
      <c r="R385" s="126" t="s">
        <v>10</v>
      </c>
      <c r="S385" s="126" t="s">
        <v>321</v>
      </c>
      <c r="T385" s="126" t="s">
        <v>11</v>
      </c>
      <c r="U385" s="126" t="s">
        <v>12</v>
      </c>
      <c r="V385" s="126" t="s">
        <v>13</v>
      </c>
      <c r="W385" s="126" t="s">
        <v>14</v>
      </c>
      <c r="X385" s="126" t="s">
        <v>15</v>
      </c>
      <c r="AB385" s="8"/>
      <c r="AE385" s="8"/>
      <c r="AF385" s="8"/>
      <c r="AG385" s="8"/>
    </row>
    <row r="386" spans="1:33" s="11" customFormat="1" x14ac:dyDescent="0.2">
      <c r="A386" s="8"/>
      <c r="B386" s="8"/>
      <c r="C386" s="8"/>
      <c r="D386" s="8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AB386" s="8"/>
      <c r="AE386" s="8"/>
      <c r="AF386" s="8"/>
      <c r="AG386" s="8"/>
    </row>
    <row r="387" spans="1:33" s="11" customFormat="1" x14ac:dyDescent="0.2">
      <c r="A387" s="42" t="s">
        <v>30</v>
      </c>
      <c r="B387" s="42" t="s">
        <v>17</v>
      </c>
      <c r="C387" s="8"/>
      <c r="D387" s="8"/>
      <c r="F387" s="52">
        <v>2021</v>
      </c>
      <c r="M387" s="55">
        <v>-0.626</v>
      </c>
      <c r="N387" s="55">
        <v>4.0190000000000001</v>
      </c>
      <c r="O387" s="55">
        <v>2.4279999999999999</v>
      </c>
      <c r="P387" s="55">
        <v>-0.748000000000001</v>
      </c>
      <c r="Q387" s="55">
        <v>-0.82000000000000095</v>
      </c>
      <c r="R387" s="55">
        <v>-0.93000000000000105</v>
      </c>
      <c r="S387" s="55">
        <v>-1.0089999999999999</v>
      </c>
      <c r="T387" s="55">
        <v>94.141999999999996</v>
      </c>
      <c r="U387" s="55">
        <v>118.93600000000001</v>
      </c>
      <c r="V387" s="55">
        <v>188.518</v>
      </c>
      <c r="W387" s="55">
        <v>270.68400000000003</v>
      </c>
      <c r="X387" s="55">
        <v>271.22199999999998</v>
      </c>
      <c r="AB387" s="8"/>
      <c r="AE387" s="8"/>
      <c r="AF387" s="8"/>
      <c r="AG387" s="8"/>
    </row>
    <row r="388" spans="1:33" s="11" customFormat="1" x14ac:dyDescent="0.2">
      <c r="A388" s="42" t="s">
        <v>30</v>
      </c>
      <c r="B388" s="42" t="s">
        <v>17</v>
      </c>
      <c r="C388" s="8"/>
      <c r="D388" s="8"/>
      <c r="F388" s="52">
        <v>2022</v>
      </c>
      <c r="M388" s="55">
        <v>5.2350000000000003</v>
      </c>
      <c r="N388" s="55">
        <v>4.7709999999999999</v>
      </c>
      <c r="O388" s="55">
        <v>8.2370000000000001</v>
      </c>
      <c r="P388" s="55">
        <v>-7.0049999999999901</v>
      </c>
      <c r="Q388" s="55">
        <v>-27.954000000000001</v>
      </c>
      <c r="R388" s="55">
        <v>-27.916</v>
      </c>
      <c r="S388" s="55">
        <v>-28.437000000000001</v>
      </c>
      <c r="T388" s="55">
        <v>-28.021000000000001</v>
      </c>
      <c r="U388" s="55">
        <v>0.32100000000001999</v>
      </c>
      <c r="V388" s="55">
        <v>-24.31</v>
      </c>
      <c r="W388" s="55">
        <v>-24.881</v>
      </c>
      <c r="X388" s="55">
        <v>-4.09</v>
      </c>
      <c r="AB388" s="8"/>
      <c r="AE388" s="8"/>
      <c r="AF388" s="8"/>
      <c r="AG388" s="8"/>
    </row>
    <row r="389" spans="1:33" s="11" customFormat="1" x14ac:dyDescent="0.2">
      <c r="A389" s="42" t="s">
        <v>30</v>
      </c>
      <c r="B389" s="42" t="s">
        <v>17</v>
      </c>
      <c r="C389" s="8"/>
      <c r="D389" s="8"/>
      <c r="F389" s="124" t="s">
        <v>489</v>
      </c>
      <c r="L389" s="54">
        <v>0</v>
      </c>
      <c r="M389" s="55">
        <v>0</v>
      </c>
      <c r="N389" s="55">
        <v>0</v>
      </c>
      <c r="O389" s="55">
        <v>0</v>
      </c>
      <c r="P389" s="55">
        <v>0</v>
      </c>
      <c r="Q389" s="55">
        <v>0</v>
      </c>
      <c r="R389" s="55">
        <v>0</v>
      </c>
      <c r="S389" s="55">
        <v>0</v>
      </c>
      <c r="T389" s="55">
        <v>0</v>
      </c>
      <c r="U389" s="55">
        <v>0</v>
      </c>
      <c r="V389" s="55">
        <v>0</v>
      </c>
      <c r="W389" s="55">
        <v>0</v>
      </c>
      <c r="X389" s="55">
        <v>0</v>
      </c>
      <c r="AB389" s="8"/>
      <c r="AE389" s="8"/>
      <c r="AF389" s="8"/>
      <c r="AG389" s="8"/>
    </row>
    <row r="390" spans="1:33" s="11" customFormat="1" x14ac:dyDescent="0.2">
      <c r="A390" s="42" t="s">
        <v>30</v>
      </c>
      <c r="B390" s="42" t="s">
        <v>17</v>
      </c>
      <c r="C390" s="8"/>
      <c r="D390" s="8"/>
      <c r="F390" s="52" t="s">
        <v>450</v>
      </c>
      <c r="M390" s="55">
        <v>-0.24099999999999999</v>
      </c>
      <c r="N390" s="55">
        <v>-0.27700000000000002</v>
      </c>
      <c r="O390" s="55">
        <v>5.4710000000000001</v>
      </c>
      <c r="P390" s="55">
        <v>5.64</v>
      </c>
      <c r="Q390" s="55">
        <v>5.6050000000000004</v>
      </c>
      <c r="R390" s="55">
        <v>5.57</v>
      </c>
      <c r="S390" s="55">
        <v>5.4969999999999999</v>
      </c>
      <c r="T390" s="55">
        <v>5.2569999999999997</v>
      </c>
      <c r="U390" s="55">
        <v>5.5970000000000004</v>
      </c>
      <c r="V390" s="55">
        <v>8.06499999999998</v>
      </c>
      <c r="W390" s="55">
        <v>8.3499999999999694</v>
      </c>
      <c r="X390" s="55">
        <v>8.2209999999999805</v>
      </c>
      <c r="AB390" s="8"/>
      <c r="AE390" s="8"/>
      <c r="AF390" s="8"/>
      <c r="AG390" s="8"/>
    </row>
    <row r="391" spans="1:33" s="11" customFormat="1" x14ac:dyDescent="0.2">
      <c r="A391" s="8"/>
      <c r="B391" s="8"/>
      <c r="C391" s="8"/>
      <c r="D391" s="8"/>
      <c r="F391" s="11" t="s">
        <v>490</v>
      </c>
      <c r="L391" s="54">
        <v>0</v>
      </c>
      <c r="M391" s="55" t="s">
        <v>481</v>
      </c>
      <c r="N391" s="55" t="s">
        <v>481</v>
      </c>
      <c r="O391" s="55" t="s">
        <v>481</v>
      </c>
      <c r="P391" s="55" t="s">
        <v>481</v>
      </c>
      <c r="Q391" s="55" t="s">
        <v>481</v>
      </c>
      <c r="R391" s="55" t="s">
        <v>481</v>
      </c>
      <c r="S391" s="55" t="s">
        <v>481</v>
      </c>
      <c r="T391" s="55" t="s">
        <v>481</v>
      </c>
      <c r="U391" s="55" t="s">
        <v>481</v>
      </c>
      <c r="V391" s="55" t="s">
        <v>481</v>
      </c>
      <c r="W391" s="55" t="s">
        <v>481</v>
      </c>
      <c r="X391" s="55">
        <v>8.2209999999999805</v>
      </c>
      <c r="AB391" s="8"/>
      <c r="AE391" s="8"/>
      <c r="AF391" s="8"/>
      <c r="AG391" s="8"/>
    </row>
    <row r="392" spans="1:33" s="2" customFormat="1" ht="12.75" x14ac:dyDescent="0.2">
      <c r="F392" s="1"/>
      <c r="K392" s="49"/>
      <c r="L392" s="49"/>
      <c r="AB392" s="8"/>
      <c r="AE392" s="8"/>
    </row>
    <row r="393" spans="1:33" s="2" customFormat="1" ht="12.75" x14ac:dyDescent="0.2">
      <c r="F393" s="1"/>
      <c r="K393" s="49"/>
      <c r="L393" s="49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AB393" s="8"/>
      <c r="AE393" s="8"/>
    </row>
    <row r="394" spans="1:33" s="2" customFormat="1" ht="12.75" x14ac:dyDescent="0.2">
      <c r="F394" s="1"/>
      <c r="K394" s="49"/>
      <c r="L394" s="49"/>
      <c r="AB394" s="8"/>
      <c r="AE394" s="8"/>
    </row>
    <row r="395" spans="1:33" s="2" customFormat="1" ht="12.75" x14ac:dyDescent="0.2">
      <c r="F395" s="1"/>
      <c r="K395" s="49"/>
      <c r="L395" s="49"/>
      <c r="AB395" s="8"/>
      <c r="AE395" s="8"/>
    </row>
    <row r="396" spans="1:33" s="2" customFormat="1" ht="12.75" x14ac:dyDescent="0.2">
      <c r="F396" s="1"/>
      <c r="K396" s="49"/>
      <c r="L396" s="49"/>
      <c r="R396" s="93"/>
      <c r="S396" s="93"/>
      <c r="T396" s="93"/>
      <c r="AB396" s="8"/>
      <c r="AE396" s="8"/>
    </row>
    <row r="397" spans="1:33" s="2" customFormat="1" ht="12.75" x14ac:dyDescent="0.2">
      <c r="F397" s="1"/>
      <c r="K397" s="49"/>
      <c r="L397" s="49"/>
      <c r="AB397" s="8"/>
      <c r="AE397" s="8"/>
    </row>
    <row r="398" spans="1:33" s="2" customFormat="1" ht="12.75" x14ac:dyDescent="0.2">
      <c r="F398" s="1"/>
      <c r="K398" s="49"/>
      <c r="L398" s="49"/>
      <c r="AB398" s="8"/>
      <c r="AE398" s="8"/>
    </row>
    <row r="399" spans="1:33" s="2" customFormat="1" ht="12.75" x14ac:dyDescent="0.2">
      <c r="F399" s="1"/>
      <c r="K399" s="49"/>
      <c r="L399" s="49"/>
      <c r="AB399" s="8"/>
      <c r="AE399" s="8"/>
    </row>
    <row r="400" spans="1:33" s="2" customFormat="1" ht="12.75" x14ac:dyDescent="0.2">
      <c r="F400" s="1"/>
      <c r="K400" s="49"/>
      <c r="L400" s="49"/>
      <c r="AB400" s="8"/>
      <c r="AE400" s="8"/>
    </row>
    <row r="401" spans="6:31" s="2" customFormat="1" ht="12.75" x14ac:dyDescent="0.2">
      <c r="F401" s="1"/>
      <c r="K401" s="49"/>
      <c r="L401" s="49"/>
      <c r="AB401" s="8"/>
      <c r="AE401" s="8"/>
    </row>
    <row r="402" spans="6:31" s="2" customFormat="1" ht="12.75" x14ac:dyDescent="0.2">
      <c r="F402" s="1"/>
      <c r="K402" s="49"/>
      <c r="L402" s="49"/>
      <c r="AB402" s="8"/>
      <c r="AE402" s="8"/>
    </row>
    <row r="403" spans="6:31" s="2" customFormat="1" x14ac:dyDescent="0.2">
      <c r="F403" s="1"/>
      <c r="K403" s="49"/>
      <c r="L403" s="49"/>
      <c r="AB403" s="8"/>
      <c r="AE403" s="3"/>
    </row>
    <row r="404" spans="6:31" s="2" customFormat="1" x14ac:dyDescent="0.2">
      <c r="F404" s="1"/>
      <c r="K404" s="49"/>
      <c r="L404" s="49"/>
      <c r="AB404" s="3"/>
      <c r="AE404" s="3"/>
    </row>
    <row r="405" spans="6:31" s="2" customFormat="1" x14ac:dyDescent="0.2">
      <c r="F405" s="1"/>
      <c r="K405" s="49"/>
      <c r="L405" s="49"/>
      <c r="AB405" s="3"/>
      <c r="AE405" s="3"/>
    </row>
    <row r="406" spans="6:31" s="2" customFormat="1" x14ac:dyDescent="0.2">
      <c r="F406" s="1"/>
      <c r="K406" s="49"/>
      <c r="L406" s="49"/>
      <c r="AB406" s="3"/>
      <c r="AE406" s="3"/>
    </row>
    <row r="407" spans="6:31" s="2" customFormat="1" x14ac:dyDescent="0.2">
      <c r="F407" s="1"/>
      <c r="K407" s="49"/>
      <c r="L407" s="49"/>
      <c r="AB407" s="3"/>
      <c r="AE407" s="3"/>
    </row>
    <row r="408" spans="6:31" s="2" customFormat="1" x14ac:dyDescent="0.2">
      <c r="F408" s="1"/>
      <c r="K408" s="49"/>
      <c r="L408" s="49"/>
      <c r="AB408" s="3"/>
      <c r="AE408" s="3"/>
    </row>
    <row r="409" spans="6:31" s="2" customFormat="1" x14ac:dyDescent="0.2">
      <c r="F409" s="1"/>
      <c r="K409" s="49"/>
      <c r="L409" s="49"/>
      <c r="AB409" s="3"/>
      <c r="AE409" s="3"/>
    </row>
    <row r="410" spans="6:31" s="2" customFormat="1" x14ac:dyDescent="0.2">
      <c r="F410" s="1"/>
      <c r="K410" s="49"/>
      <c r="L410" s="49"/>
      <c r="AB410" s="3"/>
      <c r="AE410" s="3"/>
    </row>
    <row r="411" spans="6:31" s="2" customFormat="1" x14ac:dyDescent="0.2">
      <c r="F411" s="1"/>
      <c r="K411" s="49"/>
      <c r="L411" s="49"/>
      <c r="AB411" s="3"/>
      <c r="AE411" s="3"/>
    </row>
    <row r="412" spans="6:31" s="2" customFormat="1" x14ac:dyDescent="0.2">
      <c r="F412" s="1"/>
      <c r="K412" s="49"/>
      <c r="L412" s="49"/>
      <c r="AB412" s="3"/>
      <c r="AE412" s="3"/>
    </row>
    <row r="413" spans="6:31" s="2" customFormat="1" x14ac:dyDescent="0.2">
      <c r="F413" s="1"/>
      <c r="K413" s="49"/>
      <c r="L413" s="49"/>
      <c r="AB413" s="3"/>
      <c r="AE413" s="3"/>
    </row>
    <row r="414" spans="6:31" s="2" customFormat="1" x14ac:dyDescent="0.2">
      <c r="F414" s="1"/>
      <c r="K414" s="49"/>
      <c r="L414" s="49"/>
      <c r="AB414" s="3"/>
      <c r="AE414" s="3"/>
    </row>
    <row r="415" spans="6:31" s="2" customFormat="1" x14ac:dyDescent="0.2">
      <c r="F415" s="1"/>
      <c r="K415" s="49"/>
      <c r="L415" s="49"/>
      <c r="AB415" s="3"/>
      <c r="AE415" s="3"/>
    </row>
    <row r="416" spans="6:31" s="2" customFormat="1" x14ac:dyDescent="0.2">
      <c r="F416" s="1"/>
      <c r="K416" s="49"/>
      <c r="L416" s="49"/>
      <c r="AB416" s="3"/>
      <c r="AE416" s="3"/>
    </row>
    <row r="417" spans="6:31" s="2" customFormat="1" x14ac:dyDescent="0.2">
      <c r="F417" s="1"/>
      <c r="K417" s="49"/>
      <c r="L417" s="49"/>
      <c r="AB417" s="3"/>
      <c r="AE417" s="3"/>
    </row>
    <row r="418" spans="6:31" s="2" customFormat="1" x14ac:dyDescent="0.2">
      <c r="F418" s="1"/>
      <c r="K418" s="49"/>
      <c r="L418" s="49"/>
      <c r="AB418" s="3"/>
      <c r="AE418" s="3"/>
    </row>
    <row r="419" spans="6:31" s="2" customFormat="1" x14ac:dyDescent="0.2">
      <c r="F419" s="1"/>
      <c r="K419" s="49"/>
      <c r="L419" s="49"/>
      <c r="AB419" s="3"/>
      <c r="AE419" s="3"/>
    </row>
    <row r="420" spans="6:31" s="2" customFormat="1" x14ac:dyDescent="0.2">
      <c r="F420" s="1"/>
      <c r="K420" s="49"/>
      <c r="L420" s="49"/>
      <c r="AB420" s="3"/>
      <c r="AE420" s="3"/>
    </row>
    <row r="421" spans="6:31" s="2" customFormat="1" x14ac:dyDescent="0.2">
      <c r="F421" s="1"/>
      <c r="K421" s="49"/>
      <c r="L421" s="49"/>
      <c r="AB421" s="3"/>
      <c r="AE421" s="3"/>
    </row>
    <row r="422" spans="6:31" s="2" customFormat="1" x14ac:dyDescent="0.2">
      <c r="F422" s="1"/>
      <c r="K422" s="49"/>
      <c r="L422" s="49"/>
      <c r="AB422" s="3"/>
      <c r="AE422" s="3"/>
    </row>
    <row r="423" spans="6:31" s="2" customFormat="1" x14ac:dyDescent="0.2">
      <c r="F423" s="1"/>
      <c r="K423" s="49"/>
      <c r="L423" s="49"/>
      <c r="AB423" s="3"/>
      <c r="AE423" s="3"/>
    </row>
    <row r="424" spans="6:31" s="2" customFormat="1" x14ac:dyDescent="0.2">
      <c r="F424" s="1"/>
      <c r="K424" s="49"/>
      <c r="L424" s="49"/>
      <c r="AB424" s="3"/>
      <c r="AE424" s="3"/>
    </row>
    <row r="425" spans="6:31" s="2" customFormat="1" x14ac:dyDescent="0.2">
      <c r="F425" s="1"/>
      <c r="K425" s="49"/>
      <c r="L425" s="49"/>
      <c r="AB425" s="3"/>
      <c r="AE425" s="3"/>
    </row>
    <row r="426" spans="6:31" s="2" customFormat="1" x14ac:dyDescent="0.2">
      <c r="F426" s="1"/>
      <c r="K426" s="49"/>
      <c r="L426" s="49"/>
      <c r="AB426" s="3"/>
      <c r="AE426" s="3"/>
    </row>
    <row r="427" spans="6:31" s="2" customFormat="1" x14ac:dyDescent="0.2">
      <c r="F427" s="1"/>
      <c r="K427" s="49"/>
      <c r="L427" s="49"/>
      <c r="AB427" s="3"/>
      <c r="AE427" s="3"/>
    </row>
    <row r="428" spans="6:31" s="2" customFormat="1" x14ac:dyDescent="0.2">
      <c r="F428" s="1"/>
      <c r="K428" s="49"/>
      <c r="L428" s="49"/>
      <c r="AB428" s="3"/>
      <c r="AE428" s="3"/>
    </row>
    <row r="429" spans="6:31" s="2" customFormat="1" x14ac:dyDescent="0.2">
      <c r="F429" s="1"/>
      <c r="K429" s="49"/>
      <c r="L429" s="49"/>
      <c r="AB429" s="3"/>
      <c r="AE429" s="3"/>
    </row>
    <row r="430" spans="6:31" s="2" customFormat="1" x14ac:dyDescent="0.2">
      <c r="F430" s="1"/>
      <c r="K430" s="49"/>
      <c r="L430" s="49"/>
      <c r="AB430" s="3"/>
      <c r="AE430" s="3"/>
    </row>
    <row r="431" spans="6:31" s="2" customFormat="1" x14ac:dyDescent="0.2">
      <c r="F431" s="1"/>
      <c r="K431" s="49"/>
      <c r="L431" s="49"/>
      <c r="AB431" s="3"/>
      <c r="AE431" s="3"/>
    </row>
    <row r="432" spans="6:31" s="2" customFormat="1" x14ac:dyDescent="0.2">
      <c r="F432" s="1"/>
      <c r="K432" s="49"/>
      <c r="L432" s="49"/>
      <c r="AB432" s="3"/>
      <c r="AE432" s="3"/>
    </row>
    <row r="433" spans="6:31" s="2" customFormat="1" x14ac:dyDescent="0.2">
      <c r="F433" s="1"/>
      <c r="K433" s="49"/>
      <c r="L433" s="49"/>
      <c r="AB433" s="3"/>
      <c r="AE433" s="3"/>
    </row>
    <row r="434" spans="6:31" s="2" customFormat="1" x14ac:dyDescent="0.2">
      <c r="F434" s="1"/>
      <c r="K434" s="49"/>
      <c r="L434" s="49"/>
      <c r="AB434" s="3"/>
      <c r="AE434" s="3"/>
    </row>
    <row r="435" spans="6:31" s="2" customFormat="1" x14ac:dyDescent="0.2">
      <c r="F435" s="1"/>
      <c r="K435" s="49"/>
      <c r="L435" s="49"/>
      <c r="AB435" s="3"/>
      <c r="AE435" s="3"/>
    </row>
  </sheetData>
  <mergeCells count="5">
    <mergeCell ref="AE9:AE10"/>
    <mergeCell ref="F9:F10"/>
    <mergeCell ref="AA9:AA10"/>
    <mergeCell ref="AB9:AB10"/>
    <mergeCell ref="AD9:AD10"/>
  </mergeCells>
  <conditionalFormatting sqref="AC299:AC347 AC381 AC384:AC391 AE1:AE299 AE301 AE303:AE1048576">
    <cfRule type="expression" dxfId="275" priority="61" stopIfTrue="1">
      <formula>($D1&gt;0)</formula>
    </cfRule>
    <cfRule type="expression" dxfId="274" priority="62" stopIfTrue="1">
      <formula>AND($D1&lt;0,$D1&gt;=$AE$2)</formula>
    </cfRule>
    <cfRule type="expression" dxfId="273" priority="63" stopIfTrue="1">
      <formula>($D1&lt;$AE$2)</formula>
    </cfRule>
  </conditionalFormatting>
  <conditionalFormatting sqref="AB1:AB1048576">
    <cfRule type="expression" dxfId="272" priority="58" stopIfTrue="1">
      <formula>($C1&gt;0)</formula>
    </cfRule>
    <cfRule type="expression" dxfId="271" priority="59" stopIfTrue="1">
      <formula>AND($C1&lt;0,$C1&gt;=$AB$2)</formula>
    </cfRule>
    <cfRule type="expression" dxfId="270" priority="60" stopIfTrue="1">
      <formula>($C1&lt;$AB$2)</formula>
    </cfRule>
  </conditionalFormatting>
  <conditionalFormatting sqref="AB9:AB10">
    <cfRule type="expression" dxfId="269" priority="52" stopIfTrue="1">
      <formula>($C9&gt;0)</formula>
    </cfRule>
    <cfRule type="expression" dxfId="268" priority="53" stopIfTrue="1">
      <formula>AND($C9&lt;0,$C9&gt;=$AB$2)</formula>
    </cfRule>
    <cfRule type="expression" dxfId="267" priority="54" stopIfTrue="1">
      <formula>($C9&lt;$AB$2)</formula>
    </cfRule>
  </conditionalFormatting>
  <conditionalFormatting sqref="AE9:AE10">
    <cfRule type="expression" dxfId="266" priority="49" stopIfTrue="1">
      <formula>($D9&gt;0)</formula>
    </cfRule>
    <cfRule type="expression" dxfId="265" priority="50" stopIfTrue="1">
      <formula>AND($D9&lt;0,$D9&gt;=$AE$2)</formula>
    </cfRule>
    <cfRule type="expression" dxfId="264" priority="51" stopIfTrue="1">
      <formula>($D9&lt;$AE$2)</formula>
    </cfRule>
  </conditionalFormatting>
  <conditionalFormatting sqref="AB9:AB10">
    <cfRule type="expression" dxfId="263" priority="46" stopIfTrue="1">
      <formula>($C9&gt;0)</formula>
    </cfRule>
    <cfRule type="expression" dxfId="262" priority="47" stopIfTrue="1">
      <formula>AND($C9&lt;0,$C9&gt;=$AB$2)</formula>
    </cfRule>
    <cfRule type="expression" dxfId="261" priority="48" stopIfTrue="1">
      <formula>($C9&lt;$AB$2)</formula>
    </cfRule>
  </conditionalFormatting>
  <conditionalFormatting sqref="AE9:AE10">
    <cfRule type="expression" dxfId="260" priority="43" stopIfTrue="1">
      <formula>($D9&gt;0)</formula>
    </cfRule>
    <cfRule type="expression" dxfId="259" priority="44" stopIfTrue="1">
      <formula>AND($D9&lt;0,$D9&gt;=$AE$2)</formula>
    </cfRule>
    <cfRule type="expression" dxfId="258" priority="45" stopIfTrue="1">
      <formula>($D9&lt;$AE$2)</formula>
    </cfRule>
  </conditionalFormatting>
  <conditionalFormatting sqref="AD366">
    <cfRule type="expression" dxfId="257" priority="40" stopIfTrue="1">
      <formula>($D366&gt;0)</formula>
    </cfRule>
    <cfRule type="expression" dxfId="256" priority="41" stopIfTrue="1">
      <formula>AND($D366&lt;0,$D366&gt;=$AE$2)</formula>
    </cfRule>
    <cfRule type="expression" dxfId="255" priority="42" stopIfTrue="1">
      <formula>($D366&lt;$AE$2)</formula>
    </cfRule>
  </conditionalFormatting>
  <conditionalFormatting sqref="AD369">
    <cfRule type="expression" dxfId="254" priority="37" stopIfTrue="1">
      <formula>($D369&gt;0)</formula>
    </cfRule>
    <cfRule type="expression" dxfId="253" priority="38" stopIfTrue="1">
      <formula>AND($D369&lt;0,$D369&gt;=$AE$2)</formula>
    </cfRule>
    <cfRule type="expression" dxfId="252" priority="39" stopIfTrue="1">
      <formula>($D369&lt;$AE$2)</formula>
    </cfRule>
  </conditionalFormatting>
  <conditionalFormatting sqref="AE140">
    <cfRule type="expression" dxfId="251" priority="34" stopIfTrue="1">
      <formula>($D140&gt;0)</formula>
    </cfRule>
    <cfRule type="expression" dxfId="250" priority="35" stopIfTrue="1">
      <formula>AND($D140&lt;0,$D140&gt;=$AE$2)</formula>
    </cfRule>
    <cfRule type="expression" dxfId="249" priority="36" stopIfTrue="1">
      <formula>($D140&lt;$AE$2)</formula>
    </cfRule>
  </conditionalFormatting>
  <conditionalFormatting sqref="AB140">
    <cfRule type="expression" dxfId="248" priority="31" stopIfTrue="1">
      <formula>($C140&gt;0)</formula>
    </cfRule>
    <cfRule type="expression" dxfId="247" priority="32" stopIfTrue="1">
      <formula>AND($C140&lt;0,$C140&gt;=$AB$2)</formula>
    </cfRule>
    <cfRule type="expression" dxfId="246" priority="33" stopIfTrue="1">
      <formula>($C140&lt;$AB$2)</formula>
    </cfRule>
  </conditionalFormatting>
  <conditionalFormatting sqref="AE140">
    <cfRule type="expression" dxfId="245" priority="28" stopIfTrue="1">
      <formula>($D140&gt;0)</formula>
    </cfRule>
    <cfRule type="expression" dxfId="244" priority="29" stopIfTrue="1">
      <formula>AND($D140&lt;0,$D140&gt;=$AE$2)</formula>
    </cfRule>
    <cfRule type="expression" dxfId="243" priority="30" stopIfTrue="1">
      <formula>($D140&lt;$AE$2)</formula>
    </cfRule>
  </conditionalFormatting>
  <conditionalFormatting sqref="AB140">
    <cfRule type="expression" dxfId="242" priority="25" stopIfTrue="1">
      <formula>($C140&gt;0)</formula>
    </cfRule>
    <cfRule type="expression" dxfId="241" priority="26" stopIfTrue="1">
      <formula>AND($C140&lt;0,$C140&gt;=$AB$2)</formula>
    </cfRule>
    <cfRule type="expression" dxfId="240" priority="27" stopIfTrue="1">
      <formula>($C140&lt;$AB$2)</formula>
    </cfRule>
  </conditionalFormatting>
  <conditionalFormatting sqref="AE140">
    <cfRule type="expression" dxfId="239" priority="22" stopIfTrue="1">
      <formula>($D140&gt;0)</formula>
    </cfRule>
    <cfRule type="expression" dxfId="238" priority="23" stopIfTrue="1">
      <formula>AND($D140&lt;0,$D140&gt;=$AE$2)</formula>
    </cfRule>
    <cfRule type="expression" dxfId="237" priority="24" stopIfTrue="1">
      <formula>($D140&lt;$AE$2)</formula>
    </cfRule>
  </conditionalFormatting>
  <conditionalFormatting sqref="AB140">
    <cfRule type="expression" dxfId="236" priority="19" stopIfTrue="1">
      <formula>($C140&gt;0)</formula>
    </cfRule>
    <cfRule type="expression" dxfId="235" priority="20" stopIfTrue="1">
      <formula>AND($C140&lt;0,$C140&gt;=$AB$2)</formula>
    </cfRule>
    <cfRule type="expression" dxfId="234" priority="21" stopIfTrue="1">
      <formula>($C140&lt;$AB$2)</formula>
    </cfRule>
  </conditionalFormatting>
  <conditionalFormatting sqref="AB230">
    <cfRule type="expression" dxfId="233" priority="16" stopIfTrue="1">
      <formula>($C230&gt;0)</formula>
    </cfRule>
    <cfRule type="expression" dxfId="232" priority="17" stopIfTrue="1">
      <formula>AND($C230&lt;0,$C230&gt;=$AB$2)</formula>
    </cfRule>
    <cfRule type="expression" dxfId="231" priority="18" stopIfTrue="1">
      <formula>($C230&lt;$AB$2)</formula>
    </cfRule>
  </conditionalFormatting>
  <conditionalFormatting sqref="AE230">
    <cfRule type="expression" dxfId="230" priority="13" stopIfTrue="1">
      <formula>($D230&gt;0)</formula>
    </cfRule>
    <cfRule type="expression" dxfId="229" priority="14" stopIfTrue="1">
      <formula>AND($D230&lt;0,$D230&gt;=$AE$2)</formula>
    </cfRule>
    <cfRule type="expression" dxfId="228" priority="15" stopIfTrue="1">
      <formula>($D230&lt;$AE$2)</formula>
    </cfRule>
  </conditionalFormatting>
  <conditionalFormatting sqref="AB230">
    <cfRule type="expression" dxfId="227" priority="10" stopIfTrue="1">
      <formula>($C230&gt;0)</formula>
    </cfRule>
    <cfRule type="expression" dxfId="226" priority="11" stopIfTrue="1">
      <formula>AND($C230&lt;0,$C230&gt;=$AB$2)</formula>
    </cfRule>
    <cfRule type="expression" dxfId="225" priority="12" stopIfTrue="1">
      <formula>($C230&lt;$AB$2)</formula>
    </cfRule>
  </conditionalFormatting>
  <conditionalFormatting sqref="AE230">
    <cfRule type="expression" dxfId="224" priority="7" stopIfTrue="1">
      <formula>($D230&gt;0)</formula>
    </cfRule>
    <cfRule type="expression" dxfId="223" priority="8" stopIfTrue="1">
      <formula>AND($D230&lt;0,$D230&gt;=$AE$2)</formula>
    </cfRule>
    <cfRule type="expression" dxfId="222" priority="9" stopIfTrue="1">
      <formula>($D230&lt;$AE$2)</formula>
    </cfRule>
  </conditionalFormatting>
  <conditionalFormatting sqref="AE300">
    <cfRule type="expression" dxfId="221" priority="4" stopIfTrue="1">
      <formula>($D300&gt;0)</formula>
    </cfRule>
    <cfRule type="expression" dxfId="220" priority="5" stopIfTrue="1">
      <formula>AND($D300&lt;0,$D300&gt;=$AE$2)</formula>
    </cfRule>
    <cfRule type="expression" dxfId="219" priority="6" stopIfTrue="1">
      <formula>($D300&lt;$AE$2)</formula>
    </cfRule>
  </conditionalFormatting>
  <conditionalFormatting sqref="AE302">
    <cfRule type="expression" dxfId="218" priority="1" stopIfTrue="1">
      <formula>($D302&gt;0)</formula>
    </cfRule>
    <cfRule type="expression" dxfId="217" priority="2" stopIfTrue="1">
      <formula>AND($D302&lt;0,$D302&gt;=$AE$2)</formula>
    </cfRule>
    <cfRule type="expression" dxfId="216" priority="3" stopIfTrue="1">
      <formula>($D302&lt;$AE$2)</formula>
    </cfRule>
  </conditionalFormatting>
  <printOptions horizontalCentered="1"/>
  <pageMargins left="0" right="0" top="0" bottom="0" header="0.11811023622047245" footer="7.874015748031496E-2"/>
  <pageSetup paperSize="9" scale="44" fitToHeight="2" orientation="portrait" r:id="rId1"/>
  <headerFooter alignWithMargins="0">
    <oddHeader>&amp;CFICHE SUIVEUSE&amp;R&amp;D - &amp;T</oddHeader>
  </headerFooter>
  <rowBreaks count="1" manualBreakCount="1">
    <brk id="201" min="5" max="25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422"/>
  <sheetViews>
    <sheetView showGridLines="0" topLeftCell="E7" zoomScale="70" zoomScaleNormal="70" zoomScaleSheetLayoutView="75" workbookViewId="0">
      <pane ySplit="9" topLeftCell="A279" activePane="bottomLeft" state="frozen"/>
      <selection activeCell="S115" sqref="S115"/>
      <selection pane="bottomLeft" activeCell="M288" sqref="M288"/>
    </sheetView>
  </sheetViews>
  <sheetFormatPr baseColWidth="10" defaultRowHeight="14.25" outlineLevelRow="2" outlineLevelCol="1" x14ac:dyDescent="0.2"/>
  <cols>
    <col min="1" max="1" width="24.85546875" style="8" hidden="1" customWidth="1" outlineLevel="1"/>
    <col min="2" max="2" width="30.42578125" style="8" hidden="1" customWidth="1" outlineLevel="1"/>
    <col min="3" max="4" width="12.5703125" style="8" hidden="1" customWidth="1" outlineLevel="1"/>
    <col min="5" max="5" width="2.7109375" style="8" customWidth="1" collapsed="1"/>
    <col min="6" max="6" width="35.28515625" style="7" customWidth="1"/>
    <col min="7" max="7" width="1.140625" style="8" customWidth="1"/>
    <col min="8" max="10" width="10.140625" style="8" customWidth="1"/>
    <col min="11" max="11" width="10.140625" style="9" hidden="1" customWidth="1" outlineLevel="1"/>
    <col min="12" max="12" width="10.140625" style="9" customWidth="1" collapsed="1"/>
    <col min="13" max="24" width="8.7109375" style="8" customWidth="1"/>
    <col min="25" max="25" width="10.140625" style="8" customWidth="1"/>
    <col min="26" max="26" width="1.140625" style="8" customWidth="1"/>
    <col min="27" max="27" width="10.140625" style="8" hidden="1" customWidth="1" outlineLevel="1"/>
    <col min="28" max="28" width="8.7109375" style="11" hidden="1" customWidth="1" outlineLevel="1"/>
    <col min="29" max="29" width="1.140625" style="8" hidden="1" customWidth="1" outlineLevel="1"/>
    <col min="30" max="30" width="10.140625" style="8" customWidth="1" collapsed="1"/>
    <col min="31" max="31" width="8.7109375" style="11" customWidth="1"/>
    <col min="32" max="16384" width="11.42578125" style="8"/>
  </cols>
  <sheetData>
    <row r="1" spans="1:31" ht="14.25" hidden="1" customHeight="1" outlineLevel="1" x14ac:dyDescent="0.2">
      <c r="A1" s="7" t="s">
        <v>3</v>
      </c>
      <c r="B1" s="7"/>
      <c r="I1" s="10" t="e">
        <f>#REF!</f>
        <v>#REF!</v>
      </c>
      <c r="M1" s="10" t="s">
        <v>5</v>
      </c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321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e">
        <f>#REF!</f>
        <v>#REF!</v>
      </c>
      <c r="AB1" s="53"/>
      <c r="AE1" s="53"/>
    </row>
    <row r="2" spans="1:31" ht="12.75" hidden="1" customHeight="1" outlineLevel="1" x14ac:dyDescent="0.2">
      <c r="A2" s="7" t="s">
        <v>4</v>
      </c>
      <c r="B2" s="7"/>
      <c r="H2" s="12" t="e">
        <f>#REF!</f>
        <v>#REF!</v>
      </c>
      <c r="I2" s="12" t="e">
        <f>#REF!</f>
        <v>#REF!</v>
      </c>
      <c r="J2" s="12" t="e">
        <f>#REF!</f>
        <v>#REF!</v>
      </c>
      <c r="K2" s="13" t="e">
        <f>#REF!</f>
        <v>#REF!</v>
      </c>
      <c r="L2" s="13" t="e">
        <f>#REF!</f>
        <v>#REF!</v>
      </c>
      <c r="M2" s="14" t="e">
        <f>M$1&lt;=#REF!</f>
        <v>#REF!</v>
      </c>
      <c r="N2" s="14" t="e">
        <f>N$1&lt;=#REF!</f>
        <v>#REF!</v>
      </c>
      <c r="O2" s="14" t="e">
        <f>O$1&lt;=#REF!</f>
        <v>#REF!</v>
      </c>
      <c r="P2" s="14" t="e">
        <f>P$1&lt;=#REF!</f>
        <v>#REF!</v>
      </c>
      <c r="Q2" s="14" t="e">
        <f>Q$1&lt;=#REF!</f>
        <v>#REF!</v>
      </c>
      <c r="R2" s="14" t="e">
        <f>R$1&lt;=#REF!</f>
        <v>#REF!</v>
      </c>
      <c r="S2" s="14" t="e">
        <f>S$1&lt;=#REF!</f>
        <v>#REF!</v>
      </c>
      <c r="T2" s="14" t="e">
        <f>T$1&lt;=#REF!</f>
        <v>#REF!</v>
      </c>
      <c r="U2" s="14" t="e">
        <f>U$1&lt;=#REF!</f>
        <v>#REF!</v>
      </c>
      <c r="V2" s="14" t="e">
        <f>V$1&lt;=#REF!</f>
        <v>#REF!</v>
      </c>
      <c r="W2" s="14" t="e">
        <f>W$1&lt;=#REF!</f>
        <v>#REF!</v>
      </c>
      <c r="X2" s="14" t="e">
        <f>X$1&lt;=#REF!</f>
        <v>#REF!</v>
      </c>
      <c r="Y2" s="12" t="s">
        <v>33</v>
      </c>
      <c r="AA2" s="128"/>
      <c r="AB2" s="129">
        <v>-0.15</v>
      </c>
      <c r="AD2" s="128"/>
      <c r="AE2" s="129">
        <v>-0.15</v>
      </c>
    </row>
    <row r="3" spans="1:31" ht="14.25" hidden="1" customHeight="1" outlineLevel="1" x14ac:dyDescent="0.15">
      <c r="A3" s="7" t="str">
        <f>CONCATENATE("RU sum ",F9)</f>
        <v>RU sum 2A-RPU-RESE</v>
      </c>
      <c r="B3" s="7"/>
      <c r="H3" s="127" t="e">
        <f>"FL="&amp;#REF!</f>
        <v>#REF!</v>
      </c>
      <c r="I3" s="127" t="e">
        <f>"FL="&amp;#REF!</f>
        <v>#REF!</v>
      </c>
      <c r="J3" s="127" t="e">
        <f>"FL="&amp;#REF!</f>
        <v>#REF!</v>
      </c>
      <c r="K3" s="130" t="e">
        <f>"FL="&amp;#REF!</f>
        <v>#REF!</v>
      </c>
      <c r="L3" s="130" t="e">
        <f>"FL="&amp;#REF!</f>
        <v>#REF!</v>
      </c>
      <c r="M3" s="127" t="e">
        <f>"FL="&amp;#REF!</f>
        <v>#REF!</v>
      </c>
      <c r="N3" s="127" t="e">
        <f>"FL="&amp;#REF!</f>
        <v>#REF!</v>
      </c>
      <c r="O3" s="127" t="e">
        <f>"FL="&amp;#REF!</f>
        <v>#REF!</v>
      </c>
      <c r="P3" s="127" t="e">
        <f>"FL="&amp;#REF!</f>
        <v>#REF!</v>
      </c>
      <c r="Q3" s="127" t="e">
        <f>"FL="&amp;#REF!</f>
        <v>#REF!</v>
      </c>
      <c r="R3" s="127" t="e">
        <f>"FL="&amp;#REF!</f>
        <v>#REF!</v>
      </c>
      <c r="S3" s="127" t="e">
        <f>"FL="&amp;#REF!</f>
        <v>#REF!</v>
      </c>
      <c r="T3" s="127" t="e">
        <f>"FL="&amp;#REF!</f>
        <v>#REF!</v>
      </c>
      <c r="U3" s="127" t="e">
        <f>"FL="&amp;#REF!</f>
        <v>#REF!</v>
      </c>
      <c r="V3" s="127" t="e">
        <f>"FL="&amp;#REF!</f>
        <v>#REF!</v>
      </c>
      <c r="W3" s="127" t="e">
        <f>"FL="&amp;#REF!</f>
        <v>#REF!</v>
      </c>
      <c r="X3" s="127" t="e">
        <f>"FL="&amp;#REF!</f>
        <v>#REF!</v>
      </c>
      <c r="Y3" s="127" t="e">
        <f>"FL="&amp;#REF!</f>
        <v>#REF!</v>
      </c>
      <c r="AB3" s="53"/>
      <c r="AE3" s="53"/>
    </row>
    <row r="4" spans="1:31" ht="14.25" hidden="1" customHeight="1" outlineLevel="1" x14ac:dyDescent="0.15">
      <c r="A4" s="15" t="e">
        <f>"DP="&amp;#REF!-1&amp;"."&amp;#REF!</f>
        <v>#REF!</v>
      </c>
      <c r="B4" s="7"/>
      <c r="H4" s="127" t="e">
        <f>"CA="&amp;#REF!</f>
        <v>#REF!</v>
      </c>
      <c r="I4" s="127" t="e">
        <f>"CA="&amp;#REF!</f>
        <v>#REF!</v>
      </c>
      <c r="J4" s="127" t="e">
        <f>"CA="&amp;#REF!</f>
        <v>#REF!</v>
      </c>
      <c r="K4" s="130" t="e">
        <f>"CA="&amp;#REF!</f>
        <v>#REF!</v>
      </c>
      <c r="L4" s="130" t="e">
        <f>"CA="&amp;#REF!</f>
        <v>#REF!</v>
      </c>
      <c r="M4" s="127" t="e">
        <f>"CA="&amp;#REF!</f>
        <v>#REF!</v>
      </c>
      <c r="N4" s="127" t="e">
        <f>"CA="&amp;#REF!</f>
        <v>#REF!</v>
      </c>
      <c r="O4" s="127" t="e">
        <f>"CA="&amp;#REF!</f>
        <v>#REF!</v>
      </c>
      <c r="P4" s="127" t="e">
        <f>"CA="&amp;#REF!</f>
        <v>#REF!</v>
      </c>
      <c r="Q4" s="127" t="e">
        <f>"CA="&amp;#REF!</f>
        <v>#REF!</v>
      </c>
      <c r="R4" s="127" t="e">
        <f>"CA="&amp;#REF!</f>
        <v>#REF!</v>
      </c>
      <c r="S4" s="127" t="e">
        <f>"CA="&amp;#REF!</f>
        <v>#REF!</v>
      </c>
      <c r="T4" s="127" t="e">
        <f>"CA="&amp;#REF!</f>
        <v>#REF!</v>
      </c>
      <c r="U4" s="127" t="e">
        <f>"CA="&amp;#REF!</f>
        <v>#REF!</v>
      </c>
      <c r="V4" s="127" t="e">
        <f>"CA="&amp;#REF!</f>
        <v>#REF!</v>
      </c>
      <c r="W4" s="127" t="e">
        <f>"CA="&amp;#REF!</f>
        <v>#REF!</v>
      </c>
      <c r="X4" s="127" t="e">
        <f>"CA="&amp;#REF!</f>
        <v>#REF!</v>
      </c>
      <c r="Y4" s="127" t="e">
        <f>"CA="&amp;#REF!</f>
        <v>#REF!</v>
      </c>
      <c r="AA4" s="128"/>
      <c r="AB4" s="131"/>
      <c r="AD4" s="128"/>
      <c r="AE4" s="131"/>
    </row>
    <row r="5" spans="1:31" ht="14.25" hidden="1" customHeight="1" outlineLevel="1" x14ac:dyDescent="0.15">
      <c r="B5" s="7"/>
      <c r="H5" s="127" t="e">
        <f>"DP="&amp;#REF!&amp;"."&amp;#REF!</f>
        <v>#REF!</v>
      </c>
      <c r="I5" s="127" t="e">
        <f>"DP="&amp;#REF!&amp;"."&amp;#REF!</f>
        <v>#REF!</v>
      </c>
      <c r="J5" s="127" t="e">
        <f>"DP="&amp;#REF!&amp;"."&amp;#REF!</f>
        <v>#REF!</v>
      </c>
      <c r="K5" s="130" t="e">
        <f>"DP="&amp;#REF!&amp;"."&amp;#REF!</f>
        <v>#REF!</v>
      </c>
      <c r="L5" s="130" t="e">
        <f>"DP="&amp;#REF!&amp;"."&amp;#REF!</f>
        <v>#REF!</v>
      </c>
      <c r="M5" s="127" t="e">
        <f>IF(M$1&lt;=#REF!,"DP="&amp;#REF!&amp;"."&amp;M$1,"")</f>
        <v>#REF!</v>
      </c>
      <c r="N5" s="127" t="e">
        <f>IF(N$1&lt;=#REF!,"DP="&amp;#REF!&amp;"."&amp;N$1,"")</f>
        <v>#REF!</v>
      </c>
      <c r="O5" s="127" t="e">
        <f>IF(O$1&lt;=#REF!,"DP="&amp;#REF!&amp;"."&amp;O$1,"")</f>
        <v>#REF!</v>
      </c>
      <c r="P5" s="127" t="e">
        <f>IF(P$1&lt;=#REF!,"DP="&amp;#REF!&amp;"."&amp;P$1,"")</f>
        <v>#REF!</v>
      </c>
      <c r="Q5" s="127" t="e">
        <f>IF(Q$1&lt;=#REF!,"DP="&amp;#REF!&amp;"."&amp;Q$1,"")</f>
        <v>#REF!</v>
      </c>
      <c r="R5" s="127" t="e">
        <f>IF(R$1&lt;=#REF!,"DP="&amp;#REF!&amp;"."&amp;R$1,"")</f>
        <v>#REF!</v>
      </c>
      <c r="S5" s="127" t="e">
        <f>IF(S$1&lt;=#REF!,"DP="&amp;#REF!&amp;"."&amp;S$1,"")</f>
        <v>#REF!</v>
      </c>
      <c r="T5" s="127" t="e">
        <f>IF(T$1&lt;=#REF!,"DP="&amp;#REF!&amp;"."&amp;T$1,"")</f>
        <v>#REF!</v>
      </c>
      <c r="U5" s="127" t="e">
        <f>IF(U$1&lt;=#REF!,"DP="&amp;#REF!&amp;"."&amp;U$1,"")</f>
        <v>#REF!</v>
      </c>
      <c r="V5" s="127" t="e">
        <f>IF(V$1&lt;=#REF!,"DP="&amp;#REF!&amp;"."&amp;V$1,"")</f>
        <v>#REF!</v>
      </c>
      <c r="W5" s="127" t="e">
        <f>IF(W$1&lt;=#REF!,"DP="&amp;#REF!&amp;"."&amp;W$1,"")</f>
        <v>#REF!</v>
      </c>
      <c r="X5" s="127" t="e">
        <f>IF(X$1&lt;=#REF!,"DP="&amp;#REF!&amp;"."&amp;X$1,"")</f>
        <v>#REF!</v>
      </c>
      <c r="Y5" s="127" t="e">
        <f>"DP="&amp;#REF!&amp;"."&amp;#REF!</f>
        <v>#REF!</v>
      </c>
      <c r="AA5" s="128"/>
      <c r="AB5" s="131"/>
      <c r="AD5" s="128"/>
      <c r="AE5" s="131"/>
    </row>
    <row r="6" spans="1:31" ht="14.25" hidden="1" customHeight="1" outlineLevel="1" x14ac:dyDescent="0.2">
      <c r="G6" s="7"/>
      <c r="I6" s="9" t="str">
        <f t="shared" ref="I6:K6" si="0">IF(I74=0,"nok","")</f>
        <v>nok</v>
      </c>
      <c r="J6" s="9" t="str">
        <f t="shared" si="0"/>
        <v>nok</v>
      </c>
      <c r="K6" s="9" t="str">
        <f t="shared" si="0"/>
        <v>nok</v>
      </c>
      <c r="L6" s="9" t="str">
        <f>IF(L74=0,"nok","")</f>
        <v>nok</v>
      </c>
      <c r="AB6" s="53"/>
      <c r="AE6" s="53"/>
    </row>
    <row r="7" spans="1:31" s="16" customFormat="1" ht="15.75" collapsed="1" x14ac:dyDescent="0.2">
      <c r="F7" s="6" t="s">
        <v>387</v>
      </c>
      <c r="K7" s="18"/>
      <c r="L7" s="18"/>
      <c r="M7" s="19"/>
      <c r="AB7" s="20"/>
      <c r="AE7" s="20"/>
    </row>
    <row r="8" spans="1:31" s="21" customFormat="1" ht="7.5" customHeight="1" x14ac:dyDescent="0.2">
      <c r="F8" s="138"/>
      <c r="G8" s="16"/>
      <c r="J8" s="24"/>
      <c r="K8" s="23"/>
      <c r="L8" s="23"/>
      <c r="Z8" s="16"/>
      <c r="AA8" s="24"/>
      <c r="AB8" s="22"/>
      <c r="AD8" s="24"/>
      <c r="AE8" s="22"/>
    </row>
    <row r="9" spans="1:31" ht="12.75" customHeight="1" x14ac:dyDescent="0.2">
      <c r="F9" s="300" t="s">
        <v>425</v>
      </c>
      <c r="G9" s="16"/>
      <c r="H9" s="135" t="e">
        <f>#REF!</f>
        <v>#REF!</v>
      </c>
      <c r="I9" s="26" t="e">
        <f>#REF!</f>
        <v>#REF!</v>
      </c>
      <c r="J9" s="26" t="e">
        <f>#REF!</f>
        <v>#REF!</v>
      </c>
      <c r="K9" s="136" t="e">
        <f>#REF!</f>
        <v>#REF!</v>
      </c>
      <c r="L9" s="136" t="e">
        <f>#REF!</f>
        <v>#REF!</v>
      </c>
      <c r="M9" s="27" t="s">
        <v>1</v>
      </c>
      <c r="N9" s="27" t="s">
        <v>1</v>
      </c>
      <c r="O9" s="27" t="s">
        <v>1</v>
      </c>
      <c r="P9" s="27" t="s">
        <v>1</v>
      </c>
      <c r="Q9" s="27" t="s">
        <v>1</v>
      </c>
      <c r="R9" s="27" t="s">
        <v>1</v>
      </c>
      <c r="S9" s="27" t="s">
        <v>1</v>
      </c>
      <c r="T9" s="27" t="s">
        <v>1</v>
      </c>
      <c r="U9" s="27" t="s">
        <v>1</v>
      </c>
      <c r="V9" s="27" t="s">
        <v>1</v>
      </c>
      <c r="W9" s="27" t="s">
        <v>1</v>
      </c>
      <c r="X9" s="27" t="s">
        <v>1</v>
      </c>
      <c r="Y9" s="139" t="e">
        <f>#REF!</f>
        <v>#REF!</v>
      </c>
      <c r="Z9" s="16"/>
      <c r="AA9" s="296" t="e">
        <f>#REF!&amp;" en " &amp;#REF!&amp;"/12"</f>
        <v>#REF!</v>
      </c>
      <c r="AB9" s="298" t="e">
        <f>"Ecart "&amp;#REF!</f>
        <v>#REF!</v>
      </c>
      <c r="AC9" s="25"/>
      <c r="AD9" s="296" t="e">
        <f>#REF!&amp;" en " &amp;#REF!&amp;"/12"</f>
        <v>#REF!</v>
      </c>
      <c r="AE9" s="298" t="e">
        <f>"Ecart "&amp;#REF!</f>
        <v>#REF!</v>
      </c>
    </row>
    <row r="10" spans="1:31" ht="12.75" customHeight="1" x14ac:dyDescent="0.2">
      <c r="F10" s="300"/>
      <c r="G10" s="16"/>
      <c r="H10" s="28" t="e">
        <f>#REF!&amp;"."&amp;#REF!</f>
        <v>#REF!</v>
      </c>
      <c r="I10" s="28" t="e">
        <f>#REF!&amp;"."&amp;#REF!</f>
        <v>#REF!</v>
      </c>
      <c r="J10" s="28" t="e">
        <f>#REF!&amp;"."&amp;#REF!</f>
        <v>#REF!</v>
      </c>
      <c r="K10" s="137" t="e">
        <f>#REF!</f>
        <v>#REF!</v>
      </c>
      <c r="L10" s="137" t="e">
        <f>#REF!</f>
        <v>#REF!</v>
      </c>
      <c r="M10" s="29" t="e">
        <f>IF(M$1&lt;=#REF!,M$1,"")</f>
        <v>#REF!</v>
      </c>
      <c r="N10" s="29" t="e">
        <f>IF(N$1&lt;=#REF!,N$1,"")</f>
        <v>#REF!</v>
      </c>
      <c r="O10" s="29" t="e">
        <f>IF(O$1&lt;=#REF!,O$1,"")</f>
        <v>#REF!</v>
      </c>
      <c r="P10" s="29" t="e">
        <f>IF(P$1&lt;=#REF!,P$1,"")</f>
        <v>#REF!</v>
      </c>
      <c r="Q10" s="29" t="e">
        <f>IF(Q$1&lt;=#REF!,Q$1,"")</f>
        <v>#REF!</v>
      </c>
      <c r="R10" s="29" t="e">
        <f>IF(R$1&lt;=#REF!,R$1,"")</f>
        <v>#REF!</v>
      </c>
      <c r="S10" s="29" t="e">
        <f>IF(S$1&lt;=#REF!,S$1,"")</f>
        <v>#REF!</v>
      </c>
      <c r="T10" s="29" t="e">
        <f>IF(T$1&lt;=#REF!,T$1,"")</f>
        <v>#REF!</v>
      </c>
      <c r="U10" s="29" t="e">
        <f>IF(U$1&lt;=#REF!,U$1,"")</f>
        <v>#REF!</v>
      </c>
      <c r="V10" s="29" t="e">
        <f>IF(V$1&lt;=#REF!,V$1,"")</f>
        <v>#REF!</v>
      </c>
      <c r="W10" s="29" t="e">
        <f>IF(W$1&lt;=#REF!,W$1,"")</f>
        <v>#REF!</v>
      </c>
      <c r="X10" s="29" t="e">
        <f>IF(X$1&lt;=#REF!,X$1,"")</f>
        <v>#REF!</v>
      </c>
      <c r="Y10" s="140" t="e">
        <f>#REF!&amp;"."&amp;#REF!</f>
        <v>#REF!</v>
      </c>
      <c r="Z10" s="16"/>
      <c r="AA10" s="297"/>
      <c r="AB10" s="299"/>
      <c r="AC10" s="25"/>
      <c r="AD10" s="297"/>
      <c r="AE10" s="299"/>
    </row>
    <row r="11" spans="1:31" ht="18" hidden="1" customHeight="1" outlineLevel="1" x14ac:dyDescent="0.2">
      <c r="A11" s="30" t="s">
        <v>2</v>
      </c>
      <c r="B11" s="30" t="s">
        <v>230</v>
      </c>
      <c r="C11" s="4" t="e">
        <f t="shared" ref="C11:C18" si="1">IF(AND($Y11=0,AA11=0),0,IF(AA11=0,IF($Y11&gt;=0,AB11/$Y11,-AB11/$Y11),IF(AA11&gt;=0,AB11/AA11,-AB11/AA11)))</f>
        <v>#REF!</v>
      </c>
      <c r="D11" s="4" t="e">
        <f t="shared" ref="D11:D18" si="2">IF(AND($Y11=0,AD11=0),0,IF(AD11=0,IF($Y11&gt;=0,AE11/$Y11,-AE11/$Y11),IF(AD11&gt;=0,AE11/AD11,-AE11/AD11)))</f>
        <v>#REF!</v>
      </c>
      <c r="F11" s="94" t="s">
        <v>280</v>
      </c>
      <c r="G11" s="16"/>
      <c r="H11" s="59">
        <f>_xll.GetCtData("PKAMOUNT","AMOUNT",$A$1:$A$3,$A11:$B11,H$3:H$5,"#")</f>
        <v>0</v>
      </c>
      <c r="I11" s="59">
        <f>_xll.GetCtData("PKAMOUNT","AMOUNT",$A$1:$A$3,$A11:$B11,I$3:I$5,"#")</f>
        <v>0</v>
      </c>
      <c r="J11" s="59">
        <f>_xll.GetCtData("PKAMOUNT","AMOUNT",$A$1:$A$3,$A11:$B11,J$3:J$5,"#")</f>
        <v>0</v>
      </c>
      <c r="K11" s="86">
        <f>_xll.GetCtData("PKAMOUNT","AMOUNT",$A$1:$A$3,$A11:$B11,K$3:K$5,"#")</f>
        <v>0</v>
      </c>
      <c r="L11" s="86">
        <f>_xll.GetCtData("PKAMOUNT","AMOUNT",$A$1:$A$3,$A11:$B11,L$3:L$5,"#")</f>
        <v>0</v>
      </c>
      <c r="M11" s="59">
        <f>_xll.GetCtData("PKAMOUNT","AMOUNT",$A$1:$A$3,$A11:$B11,M$3:M$5,"#")</f>
        <v>0</v>
      </c>
      <c r="N11" s="59" t="e">
        <f>IF(N$1&lt;=#REF!,_xll.GetCtData("PKAMOUNT","AMOUNT",$A$1:$A$3,$A11:$B11,N$3:N$5,"#")-SUM($M11:M11),0)</f>
        <v>#REF!</v>
      </c>
      <c r="O11" s="59" t="e">
        <f>IF(O$1&lt;=#REF!,_xll.GetCtData("PKAMOUNT","AMOUNT",$A$1:$A$3,$A11:$B11,O$3:O$5,"#")-SUM($M11:N11),0)</f>
        <v>#REF!</v>
      </c>
      <c r="P11" s="59" t="e">
        <f>IF(P$1&lt;=#REF!,_xll.GetCtData("PKAMOUNT","AMOUNT",$A$1:$A$3,$A11:$B11,P$3:P$5,"#")-SUM($M11:O11),0)</f>
        <v>#REF!</v>
      </c>
      <c r="Q11" s="59" t="e">
        <f>IF(Q$1&lt;=#REF!,_xll.GetCtData("PKAMOUNT","AMOUNT",$A$1:$A$3,$A11:$B11,Q$3:Q$5,"#")-SUM($M11:P11),0)</f>
        <v>#REF!</v>
      </c>
      <c r="R11" s="59" t="e">
        <f>IF(R$1&lt;=#REF!,_xll.GetCtData("PKAMOUNT","AMOUNT",$A$1:$A$3,$A11:$B11,R$3:R$5,"#")-SUM($M11:Q11),0)</f>
        <v>#REF!</v>
      </c>
      <c r="S11" s="59" t="e">
        <f>IF(S$1&lt;=#REF!,_xll.GetCtData("PKAMOUNT","AMOUNT",$A$1:$A$3,$A11:$B11,S$3:S$5,"#")-SUM($M11:R11),0)</f>
        <v>#REF!</v>
      </c>
      <c r="T11" s="59" t="e">
        <f>IF(T$1&lt;=#REF!,_xll.GetCtData("PKAMOUNT","AMOUNT",$A$1:$A$3,$A11:$B11,T$3:T$5,"#")-SUM($M11:S11),0)</f>
        <v>#REF!</v>
      </c>
      <c r="U11" s="59" t="e">
        <f>IF(U$1&lt;=#REF!,_xll.GetCtData("PKAMOUNT","AMOUNT",$A$1:$A$3,$A11:$B11,U$3:U$5,"#")-SUM($M11:T11),0)</f>
        <v>#REF!</v>
      </c>
      <c r="V11" s="59" t="e">
        <f>IF(V$1&lt;=#REF!,_xll.GetCtData("PKAMOUNT","AMOUNT",$A$1:$A$3,$A11:$B11,V$3:V$5,"#")-SUM($M11:U11),0)</f>
        <v>#REF!</v>
      </c>
      <c r="W11" s="59" t="e">
        <f>IF(W$1&lt;=#REF!,_xll.GetCtData("PKAMOUNT","AMOUNT",$A$1:$A$3,$A11:$B11,W$3:W$5,"#")-SUM($M11:V11),0)</f>
        <v>#REF!</v>
      </c>
      <c r="X11" s="59" t="e">
        <f>IF(X$1&lt;=#REF!,_xll.GetCtData("PKAMOUNT","AMOUNT",$A$1:$A$3,$A11:$B11,X$3:X$5,"#")-SUM($M11:W11),0)</f>
        <v>#REF!</v>
      </c>
      <c r="Y11" s="59">
        <f>_xll.GetCtData("PKAMOUNT","AMOUNT",$A$1:$A$3,$A11:$B11,Y$3:Y$5,"#")</f>
        <v>0</v>
      </c>
      <c r="Z11" s="16"/>
      <c r="AA11" s="59" t="e">
        <f>$K11*#REF!/12</f>
        <v>#REF!</v>
      </c>
      <c r="AB11" s="60" t="e">
        <f t="shared" ref="AB11:AB18" si="3">ROUND($Y11-AA11,2)</f>
        <v>#REF!</v>
      </c>
      <c r="AC11" s="31"/>
      <c r="AD11" s="59" t="e">
        <f>$L11*#REF!/12</f>
        <v>#REF!</v>
      </c>
      <c r="AE11" s="60" t="e">
        <f t="shared" ref="AE11:AE18" si="4">ROUND($Y11-AD11,2)</f>
        <v>#REF!</v>
      </c>
    </row>
    <row r="12" spans="1:31" ht="18" hidden="1" customHeight="1" outlineLevel="1" x14ac:dyDescent="0.2">
      <c r="A12" s="30" t="s">
        <v>2</v>
      </c>
      <c r="B12" s="30" t="s">
        <v>233</v>
      </c>
      <c r="C12" s="4" t="e">
        <f t="shared" si="1"/>
        <v>#REF!</v>
      </c>
      <c r="D12" s="4" t="e">
        <f t="shared" si="2"/>
        <v>#REF!</v>
      </c>
      <c r="F12" s="94" t="s">
        <v>281</v>
      </c>
      <c r="G12" s="16"/>
      <c r="H12" s="59">
        <f>_xll.GetCtData("PKAMOUNT","AMOUNT",$A$1:$A$3,$A12:$B12,H$3:H$5,"#")</f>
        <v>0</v>
      </c>
      <c r="I12" s="59">
        <f>_xll.GetCtData("PKAMOUNT","AMOUNT",$A$1:$A$3,$A12:$B12,I$3:I$5,"#")</f>
        <v>0</v>
      </c>
      <c r="J12" s="59">
        <f>_xll.GetCtData("PKAMOUNT","AMOUNT",$A$1:$A$3,$A12:$B12,J$3:J$5,"#")</f>
        <v>0</v>
      </c>
      <c r="K12" s="86">
        <f>_xll.GetCtData("PKAMOUNT","AMOUNT",$A$1:$A$3,$A12:$B12,K$3:K$5,"#")</f>
        <v>0</v>
      </c>
      <c r="L12" s="86">
        <f>_xll.GetCtData("PKAMOUNT","AMOUNT",$A$1:$A$3,$A12:$B12,L$3:L$5,"#")</f>
        <v>0</v>
      </c>
      <c r="M12" s="59">
        <f>_xll.GetCtData("PKAMOUNT","AMOUNT",$A$1:$A$3,$A12:$B12,M$3:M$5,"#")</f>
        <v>0</v>
      </c>
      <c r="N12" s="59" t="e">
        <f>IF(N$1&lt;=#REF!,_xll.GetCtData("PKAMOUNT","AMOUNT",$A$1:$A$3,$A12:$B12,N$3:N$5,"#")-SUM($M12:M12),0)</f>
        <v>#REF!</v>
      </c>
      <c r="O12" s="59" t="e">
        <f>IF(O$1&lt;=#REF!,_xll.GetCtData("PKAMOUNT","AMOUNT",$A$1:$A$3,$A12:$B12,O$3:O$5,"#")-SUM($M12:N12),0)</f>
        <v>#REF!</v>
      </c>
      <c r="P12" s="59" t="e">
        <f>IF(P$1&lt;=#REF!,_xll.GetCtData("PKAMOUNT","AMOUNT",$A$1:$A$3,$A12:$B12,P$3:P$5,"#")-SUM($M12:O12),0)</f>
        <v>#REF!</v>
      </c>
      <c r="Q12" s="59" t="e">
        <f>IF(Q$1&lt;=#REF!,_xll.GetCtData("PKAMOUNT","AMOUNT",$A$1:$A$3,$A12:$B12,Q$3:Q$5,"#")-SUM($M12:P12),0)</f>
        <v>#REF!</v>
      </c>
      <c r="R12" s="59" t="e">
        <f>IF(R$1&lt;=#REF!,_xll.GetCtData("PKAMOUNT","AMOUNT",$A$1:$A$3,$A12:$B12,R$3:R$5,"#")-SUM($M12:Q12),0)</f>
        <v>#REF!</v>
      </c>
      <c r="S12" s="59" t="e">
        <f>IF(S$1&lt;=#REF!,_xll.GetCtData("PKAMOUNT","AMOUNT",$A$1:$A$3,$A12:$B12,S$3:S$5,"#")-SUM($M12:R12),0)</f>
        <v>#REF!</v>
      </c>
      <c r="T12" s="59" t="e">
        <f>IF(T$1&lt;=#REF!,_xll.GetCtData("PKAMOUNT","AMOUNT",$A$1:$A$3,$A12:$B12,T$3:T$5,"#")-SUM($M12:S12),0)</f>
        <v>#REF!</v>
      </c>
      <c r="U12" s="59" t="e">
        <f>IF(U$1&lt;=#REF!,_xll.GetCtData("PKAMOUNT","AMOUNT",$A$1:$A$3,$A12:$B12,U$3:U$5,"#")-SUM($M12:T12),0)</f>
        <v>#REF!</v>
      </c>
      <c r="V12" s="59" t="e">
        <f>IF(V$1&lt;=#REF!,_xll.GetCtData("PKAMOUNT","AMOUNT",$A$1:$A$3,$A12:$B12,V$3:V$5,"#")-SUM($M12:U12),0)</f>
        <v>#REF!</v>
      </c>
      <c r="W12" s="59" t="e">
        <f>IF(W$1&lt;=#REF!,_xll.GetCtData("PKAMOUNT","AMOUNT",$A$1:$A$3,$A12:$B12,W$3:W$5,"#")-SUM($M12:V12),0)</f>
        <v>#REF!</v>
      </c>
      <c r="X12" s="59" t="e">
        <f>IF(X$1&lt;=#REF!,_xll.GetCtData("PKAMOUNT","AMOUNT",$A$1:$A$3,$A12:$B12,X$3:X$5,"#")-SUM($M12:W12),0)</f>
        <v>#REF!</v>
      </c>
      <c r="Y12" s="59">
        <f>_xll.GetCtData("PKAMOUNT","AMOUNT",$A$1:$A$3,$A12:$B12,Y$3:Y$5,"#")</f>
        <v>0</v>
      </c>
      <c r="Z12" s="16"/>
      <c r="AA12" s="59" t="e">
        <f>$K12*#REF!/12</f>
        <v>#REF!</v>
      </c>
      <c r="AB12" s="60" t="e">
        <f t="shared" si="3"/>
        <v>#REF!</v>
      </c>
      <c r="AC12" s="31"/>
      <c r="AD12" s="59" t="e">
        <f>$L12*#REF!/12</f>
        <v>#REF!</v>
      </c>
      <c r="AE12" s="60" t="e">
        <f t="shared" si="4"/>
        <v>#REF!</v>
      </c>
    </row>
    <row r="13" spans="1:31" ht="18" hidden="1" customHeight="1" outlineLevel="1" x14ac:dyDescent="0.2">
      <c r="A13" s="30" t="s">
        <v>2</v>
      </c>
      <c r="B13" s="30" t="s">
        <v>229</v>
      </c>
      <c r="C13" s="4" t="e">
        <f t="shared" si="1"/>
        <v>#REF!</v>
      </c>
      <c r="D13" s="4" t="e">
        <f t="shared" si="2"/>
        <v>#REF!</v>
      </c>
      <c r="F13" s="94" t="s">
        <v>282</v>
      </c>
      <c r="G13" s="16"/>
      <c r="H13" s="59">
        <f>_xll.GetCtData("PKAMOUNT","AMOUNT",$A$1:$A$3,$A13:$B13,H$3:H$5,"#")</f>
        <v>0</v>
      </c>
      <c r="I13" s="59">
        <f>_xll.GetCtData("PKAMOUNT","AMOUNT",$A$1:$A$3,$A13:$B13,I$3:I$5,"#")</f>
        <v>0</v>
      </c>
      <c r="J13" s="59">
        <f>_xll.GetCtData("PKAMOUNT","AMOUNT",$A$1:$A$3,$A13:$B13,J$3:J$5,"#")</f>
        <v>0</v>
      </c>
      <c r="K13" s="86">
        <f>_xll.GetCtData("PKAMOUNT","AMOUNT",$A$1:$A$3,$A13:$B13,K$3:K$5,"#")</f>
        <v>0</v>
      </c>
      <c r="L13" s="86">
        <f>_xll.GetCtData("PKAMOUNT","AMOUNT",$A$1:$A$3,$A13:$B13,L$3:L$5,"#")</f>
        <v>0</v>
      </c>
      <c r="M13" s="59">
        <f>_xll.GetCtData("PKAMOUNT","AMOUNT",$A$1:$A$3,$A13:$B13,M$3:M$5,"#")</f>
        <v>0</v>
      </c>
      <c r="N13" s="59" t="e">
        <f>IF(N$1&lt;=#REF!,_xll.GetCtData("PKAMOUNT","AMOUNT",$A$1:$A$3,$A13:$B13,N$3:N$5,"#")-SUM($M13:M13),0)</f>
        <v>#REF!</v>
      </c>
      <c r="O13" s="59" t="e">
        <f>IF(O$1&lt;=#REF!,_xll.GetCtData("PKAMOUNT","AMOUNT",$A$1:$A$3,$A13:$B13,O$3:O$5,"#")-SUM($M13:N13),0)</f>
        <v>#REF!</v>
      </c>
      <c r="P13" s="59" t="e">
        <f>IF(P$1&lt;=#REF!,_xll.GetCtData("PKAMOUNT","AMOUNT",$A$1:$A$3,$A13:$B13,P$3:P$5,"#")-SUM($M13:O13),0)</f>
        <v>#REF!</v>
      </c>
      <c r="Q13" s="59" t="e">
        <f>IF(Q$1&lt;=#REF!,_xll.GetCtData("PKAMOUNT","AMOUNT",$A$1:$A$3,$A13:$B13,Q$3:Q$5,"#")-SUM($M13:P13),0)</f>
        <v>#REF!</v>
      </c>
      <c r="R13" s="59" t="e">
        <f>IF(R$1&lt;=#REF!,_xll.GetCtData("PKAMOUNT","AMOUNT",$A$1:$A$3,$A13:$B13,R$3:R$5,"#")-SUM($M13:Q13),0)</f>
        <v>#REF!</v>
      </c>
      <c r="S13" s="59" t="e">
        <f>IF(S$1&lt;=#REF!,_xll.GetCtData("PKAMOUNT","AMOUNT",$A$1:$A$3,$A13:$B13,S$3:S$5,"#")-SUM($M13:R13),0)</f>
        <v>#REF!</v>
      </c>
      <c r="T13" s="59" t="e">
        <f>IF(T$1&lt;=#REF!,_xll.GetCtData("PKAMOUNT","AMOUNT",$A$1:$A$3,$A13:$B13,T$3:T$5,"#")-SUM($M13:S13),0)</f>
        <v>#REF!</v>
      </c>
      <c r="U13" s="59" t="e">
        <f>IF(U$1&lt;=#REF!,_xll.GetCtData("PKAMOUNT","AMOUNT",$A$1:$A$3,$A13:$B13,U$3:U$5,"#")-SUM($M13:T13),0)</f>
        <v>#REF!</v>
      </c>
      <c r="V13" s="59" t="e">
        <f>IF(V$1&lt;=#REF!,_xll.GetCtData("PKAMOUNT","AMOUNT",$A$1:$A$3,$A13:$B13,V$3:V$5,"#")-SUM($M13:U13),0)</f>
        <v>#REF!</v>
      </c>
      <c r="W13" s="59" t="e">
        <f>IF(W$1&lt;=#REF!,_xll.GetCtData("PKAMOUNT","AMOUNT",$A$1:$A$3,$A13:$B13,W$3:W$5,"#")-SUM($M13:V13),0)</f>
        <v>#REF!</v>
      </c>
      <c r="X13" s="59" t="e">
        <f>IF(X$1&lt;=#REF!,_xll.GetCtData("PKAMOUNT","AMOUNT",$A$1:$A$3,$A13:$B13,X$3:X$5,"#")-SUM($M13:W13),0)</f>
        <v>#REF!</v>
      </c>
      <c r="Y13" s="59">
        <f>_xll.GetCtData("PKAMOUNT","AMOUNT",$A$1:$A$3,$A13:$B13,Y$3:Y$5,"#")</f>
        <v>0</v>
      </c>
      <c r="Z13" s="16"/>
      <c r="AA13" s="59" t="e">
        <f>$K13*#REF!/12</f>
        <v>#REF!</v>
      </c>
      <c r="AB13" s="60" t="e">
        <f t="shared" si="3"/>
        <v>#REF!</v>
      </c>
      <c r="AC13" s="31"/>
      <c r="AD13" s="59" t="e">
        <f>$L13*#REF!/12</f>
        <v>#REF!</v>
      </c>
      <c r="AE13" s="60" t="e">
        <f t="shared" si="4"/>
        <v>#REF!</v>
      </c>
    </row>
    <row r="14" spans="1:31" ht="18" hidden="1" customHeight="1" outlineLevel="1" x14ac:dyDescent="0.2">
      <c r="A14" s="30" t="s">
        <v>2</v>
      </c>
      <c r="B14" s="30" t="s">
        <v>232</v>
      </c>
      <c r="C14" s="4" t="e">
        <f t="shared" si="1"/>
        <v>#REF!</v>
      </c>
      <c r="D14" s="4" t="e">
        <f t="shared" si="2"/>
        <v>#REF!</v>
      </c>
      <c r="F14" s="94" t="s">
        <v>283</v>
      </c>
      <c r="G14" s="16"/>
      <c r="H14" s="59">
        <f>_xll.GetCtData("PKAMOUNT","AMOUNT",$A$1:$A$3,$A14:$B14,H$3:H$5,"#")</f>
        <v>0</v>
      </c>
      <c r="I14" s="59">
        <f>_xll.GetCtData("PKAMOUNT","AMOUNT",$A$1:$A$3,$A14:$B14,I$3:I$5,"#")</f>
        <v>0</v>
      </c>
      <c r="J14" s="59">
        <f>_xll.GetCtData("PKAMOUNT","AMOUNT",$A$1:$A$3,$A14:$B14,J$3:J$5,"#")</f>
        <v>0</v>
      </c>
      <c r="K14" s="86">
        <f>_xll.GetCtData("PKAMOUNT","AMOUNT",$A$1:$A$3,$A14:$B14,K$3:K$5,"#")</f>
        <v>0</v>
      </c>
      <c r="L14" s="86">
        <f>_xll.GetCtData("PKAMOUNT","AMOUNT",$A$1:$A$3,$A14:$B14,L$3:L$5,"#")</f>
        <v>0</v>
      </c>
      <c r="M14" s="59">
        <f>_xll.GetCtData("PKAMOUNT","AMOUNT",$A$1:$A$3,$A14:$B14,M$3:M$5,"#")</f>
        <v>0</v>
      </c>
      <c r="N14" s="59" t="e">
        <f>IF(N$1&lt;=#REF!,_xll.GetCtData("PKAMOUNT","AMOUNT",$A$1:$A$3,$A14:$B14,N$3:N$5,"#")-SUM($M14:M14),0)</f>
        <v>#REF!</v>
      </c>
      <c r="O14" s="59" t="e">
        <f>IF(O$1&lt;=#REF!,_xll.GetCtData("PKAMOUNT","AMOUNT",$A$1:$A$3,$A14:$B14,O$3:O$5,"#")-SUM($M14:N14),0)</f>
        <v>#REF!</v>
      </c>
      <c r="P14" s="59" t="e">
        <f>IF(P$1&lt;=#REF!,_xll.GetCtData("PKAMOUNT","AMOUNT",$A$1:$A$3,$A14:$B14,P$3:P$5,"#")-SUM($M14:O14),0)</f>
        <v>#REF!</v>
      </c>
      <c r="Q14" s="59" t="e">
        <f>IF(Q$1&lt;=#REF!,_xll.GetCtData("PKAMOUNT","AMOUNT",$A$1:$A$3,$A14:$B14,Q$3:Q$5,"#")-SUM($M14:P14),0)</f>
        <v>#REF!</v>
      </c>
      <c r="R14" s="59" t="e">
        <f>IF(R$1&lt;=#REF!,_xll.GetCtData("PKAMOUNT","AMOUNT",$A$1:$A$3,$A14:$B14,R$3:R$5,"#")-SUM($M14:Q14),0)</f>
        <v>#REF!</v>
      </c>
      <c r="S14" s="59" t="e">
        <f>IF(S$1&lt;=#REF!,_xll.GetCtData("PKAMOUNT","AMOUNT",$A$1:$A$3,$A14:$B14,S$3:S$5,"#")-SUM($M14:R14),0)</f>
        <v>#REF!</v>
      </c>
      <c r="T14" s="59" t="e">
        <f>IF(T$1&lt;=#REF!,_xll.GetCtData("PKAMOUNT","AMOUNT",$A$1:$A$3,$A14:$B14,T$3:T$5,"#")-SUM($M14:S14),0)</f>
        <v>#REF!</v>
      </c>
      <c r="U14" s="59" t="e">
        <f>IF(U$1&lt;=#REF!,_xll.GetCtData("PKAMOUNT","AMOUNT",$A$1:$A$3,$A14:$B14,U$3:U$5,"#")-SUM($M14:T14),0)</f>
        <v>#REF!</v>
      </c>
      <c r="V14" s="59" t="e">
        <f>IF(V$1&lt;=#REF!,_xll.GetCtData("PKAMOUNT","AMOUNT",$A$1:$A$3,$A14:$B14,V$3:V$5,"#")-SUM($M14:U14),0)</f>
        <v>#REF!</v>
      </c>
      <c r="W14" s="59" t="e">
        <f>IF(W$1&lt;=#REF!,_xll.GetCtData("PKAMOUNT","AMOUNT",$A$1:$A$3,$A14:$B14,W$3:W$5,"#")-SUM($M14:V14),0)</f>
        <v>#REF!</v>
      </c>
      <c r="X14" s="59" t="e">
        <f>IF(X$1&lt;=#REF!,_xll.GetCtData("PKAMOUNT","AMOUNT",$A$1:$A$3,$A14:$B14,X$3:X$5,"#")-SUM($M14:W14),0)</f>
        <v>#REF!</v>
      </c>
      <c r="Y14" s="59">
        <f>_xll.GetCtData("PKAMOUNT","AMOUNT",$A$1:$A$3,$A14:$B14,Y$3:Y$5,"#")</f>
        <v>0</v>
      </c>
      <c r="Z14" s="16"/>
      <c r="AA14" s="59" t="e">
        <f>$K14*#REF!/12</f>
        <v>#REF!</v>
      </c>
      <c r="AB14" s="60" t="e">
        <f t="shared" si="3"/>
        <v>#REF!</v>
      </c>
      <c r="AC14" s="31"/>
      <c r="AD14" s="59" t="e">
        <f>$L14*#REF!/12</f>
        <v>#REF!</v>
      </c>
      <c r="AE14" s="60" t="e">
        <f t="shared" si="4"/>
        <v>#REF!</v>
      </c>
    </row>
    <row r="15" spans="1:31" ht="18" hidden="1" customHeight="1" outlineLevel="1" x14ac:dyDescent="0.2">
      <c r="A15" s="30" t="s">
        <v>2</v>
      </c>
      <c r="B15" s="30" t="s">
        <v>231</v>
      </c>
      <c r="C15" s="4" t="e">
        <f t="shared" si="1"/>
        <v>#REF!</v>
      </c>
      <c r="D15" s="4" t="e">
        <f t="shared" si="2"/>
        <v>#REF!</v>
      </c>
      <c r="F15" s="94" t="s">
        <v>284</v>
      </c>
      <c r="G15" s="16"/>
      <c r="H15" s="59">
        <f>_xll.GetCtData("PKAMOUNT","AMOUNT",$A$1:$A$3,$A15:$B15,H$3:H$5,"#")</f>
        <v>0</v>
      </c>
      <c r="I15" s="59">
        <f>_xll.GetCtData("PKAMOUNT","AMOUNT",$A$1:$A$3,$A15:$B15,I$3:I$5,"#")</f>
        <v>0</v>
      </c>
      <c r="J15" s="59">
        <f>_xll.GetCtData("PKAMOUNT","AMOUNT",$A$1:$A$3,$A15:$B15,J$3:J$5,"#")</f>
        <v>0</v>
      </c>
      <c r="K15" s="86">
        <f>_xll.GetCtData("PKAMOUNT","AMOUNT",$A$1:$A$3,$A15:$B15,K$3:K$5,"#")</f>
        <v>0</v>
      </c>
      <c r="L15" s="86">
        <f>_xll.GetCtData("PKAMOUNT","AMOUNT",$A$1:$A$3,$A15:$B15,L$3:L$5,"#")</f>
        <v>0</v>
      </c>
      <c r="M15" s="59">
        <f>_xll.GetCtData("PKAMOUNT","AMOUNT",$A$1:$A$3,$A15:$B15,M$3:M$5,"#")</f>
        <v>0</v>
      </c>
      <c r="N15" s="59" t="e">
        <f>IF(N$1&lt;=#REF!,_xll.GetCtData("PKAMOUNT","AMOUNT",$A$1:$A$3,$A15:$B15,N$3:N$5,"#")-SUM($M15:M15),0)</f>
        <v>#REF!</v>
      </c>
      <c r="O15" s="59" t="e">
        <f>IF(O$1&lt;=#REF!,_xll.GetCtData("PKAMOUNT","AMOUNT",$A$1:$A$3,$A15:$B15,O$3:O$5,"#")-SUM($M15:N15),0)</f>
        <v>#REF!</v>
      </c>
      <c r="P15" s="59" t="e">
        <f>IF(P$1&lt;=#REF!,_xll.GetCtData("PKAMOUNT","AMOUNT",$A$1:$A$3,$A15:$B15,P$3:P$5,"#")-SUM($M15:O15),0)</f>
        <v>#REF!</v>
      </c>
      <c r="Q15" s="59" t="e">
        <f>IF(Q$1&lt;=#REF!,_xll.GetCtData("PKAMOUNT","AMOUNT",$A$1:$A$3,$A15:$B15,Q$3:Q$5,"#")-SUM($M15:P15),0)</f>
        <v>#REF!</v>
      </c>
      <c r="R15" s="59" t="e">
        <f>IF(R$1&lt;=#REF!,_xll.GetCtData("PKAMOUNT","AMOUNT",$A$1:$A$3,$A15:$B15,R$3:R$5,"#")-SUM($M15:Q15),0)</f>
        <v>#REF!</v>
      </c>
      <c r="S15" s="59" t="e">
        <f>IF(S$1&lt;=#REF!,_xll.GetCtData("PKAMOUNT","AMOUNT",$A$1:$A$3,$A15:$B15,S$3:S$5,"#")-SUM($M15:R15),0)</f>
        <v>#REF!</v>
      </c>
      <c r="T15" s="59" t="e">
        <f>IF(T$1&lt;=#REF!,_xll.GetCtData("PKAMOUNT","AMOUNT",$A$1:$A$3,$A15:$B15,T$3:T$5,"#")-SUM($M15:S15),0)</f>
        <v>#REF!</v>
      </c>
      <c r="U15" s="59" t="e">
        <f>IF(U$1&lt;=#REF!,_xll.GetCtData("PKAMOUNT","AMOUNT",$A$1:$A$3,$A15:$B15,U$3:U$5,"#")-SUM($M15:T15),0)</f>
        <v>#REF!</v>
      </c>
      <c r="V15" s="59" t="e">
        <f>IF(V$1&lt;=#REF!,_xll.GetCtData("PKAMOUNT","AMOUNT",$A$1:$A$3,$A15:$B15,V$3:V$5,"#")-SUM($M15:U15),0)</f>
        <v>#REF!</v>
      </c>
      <c r="W15" s="59" t="e">
        <f>IF(W$1&lt;=#REF!,_xll.GetCtData("PKAMOUNT","AMOUNT",$A$1:$A$3,$A15:$B15,W$3:W$5,"#")-SUM($M15:V15),0)</f>
        <v>#REF!</v>
      </c>
      <c r="X15" s="59" t="e">
        <f>IF(X$1&lt;=#REF!,_xll.GetCtData("PKAMOUNT","AMOUNT",$A$1:$A$3,$A15:$B15,X$3:X$5,"#")-SUM($M15:W15),0)</f>
        <v>#REF!</v>
      </c>
      <c r="Y15" s="59">
        <f>_xll.GetCtData("PKAMOUNT","AMOUNT",$A$1:$A$3,$A15:$B15,Y$3:Y$5,"#")</f>
        <v>0</v>
      </c>
      <c r="Z15" s="16"/>
      <c r="AA15" s="59" t="e">
        <f>$K15*#REF!/12</f>
        <v>#REF!</v>
      </c>
      <c r="AB15" s="60" t="e">
        <f t="shared" si="3"/>
        <v>#REF!</v>
      </c>
      <c r="AC15" s="31"/>
      <c r="AD15" s="59" t="e">
        <f>$L15*#REF!/12</f>
        <v>#REF!</v>
      </c>
      <c r="AE15" s="60" t="e">
        <f t="shared" si="4"/>
        <v>#REF!</v>
      </c>
    </row>
    <row r="16" spans="1:31" ht="18" customHeight="1" collapsed="1" x14ac:dyDescent="0.2">
      <c r="A16" s="30" t="s">
        <v>2</v>
      </c>
      <c r="B16" s="30" t="s">
        <v>203</v>
      </c>
      <c r="C16" s="4" t="e">
        <f t="shared" si="1"/>
        <v>#REF!</v>
      </c>
      <c r="D16" s="4" t="e">
        <f t="shared" si="2"/>
        <v>#REF!</v>
      </c>
      <c r="E16" s="9"/>
      <c r="F16" s="51" t="s">
        <v>285</v>
      </c>
      <c r="G16" s="16"/>
      <c r="H16" s="61">
        <f>_xll.GetCtData("PKAMOUNT","AMOUNT",$A$1:$A$3,$A16:$B16,H$3:H$5,"#")</f>
        <v>0</v>
      </c>
      <c r="I16" s="61">
        <f>_xll.GetCtData("PKAMOUNT","AMOUNT",$A$1:$A$3,$A16:$B16,I$3:I$5,"#")</f>
        <v>0</v>
      </c>
      <c r="J16" s="61">
        <f>_xll.GetCtData("PKAMOUNT","AMOUNT",$A$1:$A$3,$A16:$B16,J$3:J$5,"#")</f>
        <v>0</v>
      </c>
      <c r="K16" s="86">
        <f>_xll.GetCtData("PKAMOUNT","AMOUNT",$A$1:$A$3,$A16:$B16,K$3:K$5,"#")</f>
        <v>0</v>
      </c>
      <c r="L16" s="86">
        <f>_xll.GetCtData("PKAMOUNT","AMOUNT",$A$1:$A$3,$A16:$B16,L$3:L$5,"#")</f>
        <v>0</v>
      </c>
      <c r="M16" s="61">
        <f>_xll.GetCtData("PKAMOUNT","AMOUNT",$A$1:$A$3,$A16:$B16,M$3:M$5,"#")</f>
        <v>0</v>
      </c>
      <c r="N16" s="61" t="e">
        <f>IF(N$1&lt;=#REF!,_xll.GetCtData("PKAMOUNT","AMOUNT",$A$1:$A$3,$A16:$B16,N$3:N$5,"#")-SUM($M16:M16),0)</f>
        <v>#REF!</v>
      </c>
      <c r="O16" s="61" t="e">
        <f>IF(O$1&lt;=#REF!,_xll.GetCtData("PKAMOUNT","AMOUNT",$A$1:$A$3,$A16:$B16,O$3:O$5,"#")-SUM($M16:N16),0)</f>
        <v>#REF!</v>
      </c>
      <c r="P16" s="61" t="e">
        <f>IF(P$1&lt;=#REF!,_xll.GetCtData("PKAMOUNT","AMOUNT",$A$1:$A$3,$A16:$B16,P$3:P$5,"#")-SUM($M16:O16),0)</f>
        <v>#REF!</v>
      </c>
      <c r="Q16" s="61" t="e">
        <f>IF(Q$1&lt;=#REF!,_xll.GetCtData("PKAMOUNT","AMOUNT",$A$1:$A$3,$A16:$B16,Q$3:Q$5,"#")-SUM($M16:P16),0)</f>
        <v>#REF!</v>
      </c>
      <c r="R16" s="61" t="e">
        <f>IF(R$1&lt;=#REF!,_xll.GetCtData("PKAMOUNT","AMOUNT",$A$1:$A$3,$A16:$B16,R$3:R$5,"#")-SUM($M16:Q16),0)</f>
        <v>#REF!</v>
      </c>
      <c r="S16" s="61" t="e">
        <f>IF(S$1&lt;=#REF!,_xll.GetCtData("PKAMOUNT","AMOUNT",$A$1:$A$3,$A16:$B16,S$3:S$5,"#")-SUM($M16:R16),0)</f>
        <v>#REF!</v>
      </c>
      <c r="T16" s="61" t="e">
        <f>IF(T$1&lt;=#REF!,_xll.GetCtData("PKAMOUNT","AMOUNT",$A$1:$A$3,$A16:$B16,T$3:T$5,"#")-SUM($M16:S16),0)</f>
        <v>#REF!</v>
      </c>
      <c r="U16" s="61" t="e">
        <f>IF(U$1&lt;=#REF!,_xll.GetCtData("PKAMOUNT","AMOUNT",$A$1:$A$3,$A16:$B16,U$3:U$5,"#")-SUM($M16:T16),0)</f>
        <v>#REF!</v>
      </c>
      <c r="V16" s="61" t="e">
        <f>IF(V$1&lt;=#REF!,_xll.GetCtData("PKAMOUNT","AMOUNT",$A$1:$A$3,$A16:$B16,V$3:V$5,"#")-SUM($M16:U16),0)</f>
        <v>#REF!</v>
      </c>
      <c r="W16" s="61" t="e">
        <f>IF(W$1&lt;=#REF!,_xll.GetCtData("PKAMOUNT","AMOUNT",$A$1:$A$3,$A16:$B16,W$3:W$5,"#")-SUM($M16:V16),0)</f>
        <v>#REF!</v>
      </c>
      <c r="X16" s="61" t="e">
        <f>IF(X$1&lt;=#REF!,_xll.GetCtData("PKAMOUNT","AMOUNT",$A$1:$A$3,$A16:$B16,X$3:X$5,"#")-SUM($M16:W16),0)</f>
        <v>#REF!</v>
      </c>
      <c r="Y16" s="61">
        <f>_xll.GetCtData("PKAMOUNT","AMOUNT",$A$1:$A$3,$A16:$B16,Y$3:Y$5,"#")</f>
        <v>0</v>
      </c>
      <c r="Z16" s="16"/>
      <c r="AA16" s="61" t="e">
        <f>$K16*#REF!/12</f>
        <v>#REF!</v>
      </c>
      <c r="AB16" s="60" t="e">
        <f t="shared" si="3"/>
        <v>#REF!</v>
      </c>
      <c r="AD16" s="61" t="e">
        <f>$L16*#REF!/12</f>
        <v>#REF!</v>
      </c>
      <c r="AE16" s="60" t="e">
        <f t="shared" si="4"/>
        <v>#REF!</v>
      </c>
    </row>
    <row r="17" spans="1:33" ht="18" customHeight="1" x14ac:dyDescent="0.2">
      <c r="A17" s="30" t="s">
        <v>2</v>
      </c>
      <c r="B17" s="30" t="s">
        <v>31</v>
      </c>
      <c r="C17" s="4" t="e">
        <f t="shared" si="1"/>
        <v>#REF!</v>
      </c>
      <c r="D17" s="4" t="e">
        <f t="shared" si="2"/>
        <v>#REF!</v>
      </c>
      <c r="F17" s="51" t="s">
        <v>286</v>
      </c>
      <c r="G17" s="16"/>
      <c r="H17" s="61">
        <f>_xll.GetCtData("PKAMOUNT","AMOUNT",$A$1:$A$3,$A17:$B17,H$3:H$5,"#")</f>
        <v>0</v>
      </c>
      <c r="I17" s="61">
        <f>_xll.GetCtData("PKAMOUNT","AMOUNT",$A$1:$A$3,$A17:$B17,I$3:I$5,"#")</f>
        <v>0</v>
      </c>
      <c r="J17" s="61">
        <f>_xll.GetCtData("PKAMOUNT","AMOUNT",$A$1:$A$3,$A17:$B17,J$3:J$5,"#")</f>
        <v>0</v>
      </c>
      <c r="K17" s="86">
        <f>_xll.GetCtData("PKAMOUNT","AMOUNT",$A$1:$A$3,$A17:$B17,K$3:K$5,"#")</f>
        <v>0</v>
      </c>
      <c r="L17" s="86">
        <f>_xll.GetCtData("PKAMOUNT","AMOUNT",$A$1:$A$3,$A17:$B17,L$3:L$5,"#")</f>
        <v>0</v>
      </c>
      <c r="M17" s="61">
        <f>_xll.GetCtData("PKAMOUNT","AMOUNT",$A$1:$A$3,$A17:$B17,M$3:M$5,"#")</f>
        <v>0</v>
      </c>
      <c r="N17" s="61" t="e">
        <f>IF(N$1&lt;=#REF!,_xll.GetCtData("PKAMOUNT","AMOUNT",$A$1:$A$3,$A17:$B17,N$3:N$5,"#")-SUM($M17:M17),0)</f>
        <v>#REF!</v>
      </c>
      <c r="O17" s="61" t="e">
        <f>IF(O$1&lt;=#REF!,_xll.GetCtData("PKAMOUNT","AMOUNT",$A$1:$A$3,$A17:$B17,O$3:O$5,"#")-SUM($M17:N17),0)</f>
        <v>#REF!</v>
      </c>
      <c r="P17" s="61" t="e">
        <f>IF(P$1&lt;=#REF!,_xll.GetCtData("PKAMOUNT","AMOUNT",$A$1:$A$3,$A17:$B17,P$3:P$5,"#")-SUM($M17:O17),0)</f>
        <v>#REF!</v>
      </c>
      <c r="Q17" s="61" t="e">
        <f>IF(Q$1&lt;=#REF!,_xll.GetCtData("PKAMOUNT","AMOUNT",$A$1:$A$3,$A17:$B17,Q$3:Q$5,"#")-SUM($M17:P17),0)</f>
        <v>#REF!</v>
      </c>
      <c r="R17" s="61" t="e">
        <f>IF(R$1&lt;=#REF!,_xll.GetCtData("PKAMOUNT","AMOUNT",$A$1:$A$3,$A17:$B17,R$3:R$5,"#")-SUM($M17:Q17),0)</f>
        <v>#REF!</v>
      </c>
      <c r="S17" s="61" t="e">
        <f>IF(S$1&lt;=#REF!,_xll.GetCtData("PKAMOUNT","AMOUNT",$A$1:$A$3,$A17:$B17,S$3:S$5,"#")-SUM($M17:R17),0)</f>
        <v>#REF!</v>
      </c>
      <c r="T17" s="61" t="e">
        <f>IF(T$1&lt;=#REF!,_xll.GetCtData("PKAMOUNT","AMOUNT",$A$1:$A$3,$A17:$B17,T$3:T$5,"#")-SUM($M17:S17),0)</f>
        <v>#REF!</v>
      </c>
      <c r="U17" s="61" t="e">
        <f>IF(U$1&lt;=#REF!,_xll.GetCtData("PKAMOUNT","AMOUNT",$A$1:$A$3,$A17:$B17,U$3:U$5,"#")-SUM($M17:T17),0)</f>
        <v>#REF!</v>
      </c>
      <c r="V17" s="61" t="e">
        <f>IF(V$1&lt;=#REF!,_xll.GetCtData("PKAMOUNT","AMOUNT",$A$1:$A$3,$A17:$B17,V$3:V$5,"#")-SUM($M17:U17),0)</f>
        <v>#REF!</v>
      </c>
      <c r="W17" s="61" t="e">
        <f>IF(W$1&lt;=#REF!,_xll.GetCtData("PKAMOUNT","AMOUNT",$A$1:$A$3,$A17:$B17,W$3:W$5,"#")-SUM($M17:V17),0)</f>
        <v>#REF!</v>
      </c>
      <c r="X17" s="61" t="e">
        <f>IF(X$1&lt;=#REF!,_xll.GetCtData("PKAMOUNT","AMOUNT",$A$1:$A$3,$A17:$B17,X$3:X$5,"#")-SUM($M17:W17),0)</f>
        <v>#REF!</v>
      </c>
      <c r="Y17" s="61">
        <f>_xll.GetCtData("PKAMOUNT","AMOUNT",$A$1:$A$3,$A17:$B17,Y$3:Y$5,"#")</f>
        <v>0</v>
      </c>
      <c r="Z17" s="16"/>
      <c r="AA17" s="61" t="e">
        <f>$K17*#REF!/12</f>
        <v>#REF!</v>
      </c>
      <c r="AB17" s="60" t="e">
        <f t="shared" si="3"/>
        <v>#REF!</v>
      </c>
      <c r="AD17" s="61" t="e">
        <f>$L17*#REF!/12</f>
        <v>#REF!</v>
      </c>
      <c r="AE17" s="60" t="e">
        <f t="shared" si="4"/>
        <v>#REF!</v>
      </c>
    </row>
    <row r="18" spans="1:33" s="7" customFormat="1" ht="18" customHeight="1" x14ac:dyDescent="0.2">
      <c r="A18" s="32"/>
      <c r="B18" s="32"/>
      <c r="C18" s="4" t="e">
        <f t="shared" si="1"/>
        <v>#REF!</v>
      </c>
      <c r="D18" s="4" t="e">
        <f t="shared" si="2"/>
        <v>#REF!</v>
      </c>
      <c r="E18" s="8"/>
      <c r="F18" s="45" t="s">
        <v>217</v>
      </c>
      <c r="G18" s="16"/>
      <c r="H18" s="62">
        <f t="shared" ref="H18:Y18" si="5">H16+H17</f>
        <v>0</v>
      </c>
      <c r="I18" s="62">
        <f t="shared" si="5"/>
        <v>0</v>
      </c>
      <c r="J18" s="62">
        <f t="shared" si="5"/>
        <v>0</v>
      </c>
      <c r="K18" s="108">
        <f t="shared" si="5"/>
        <v>0</v>
      </c>
      <c r="L18" s="108">
        <f t="shared" si="5"/>
        <v>0</v>
      </c>
      <c r="M18" s="62">
        <f t="shared" si="5"/>
        <v>0</v>
      </c>
      <c r="N18" s="62" t="e">
        <f t="shared" si="5"/>
        <v>#REF!</v>
      </c>
      <c r="O18" s="62" t="e">
        <f t="shared" si="5"/>
        <v>#REF!</v>
      </c>
      <c r="P18" s="62" t="e">
        <f t="shared" si="5"/>
        <v>#REF!</v>
      </c>
      <c r="Q18" s="62" t="e">
        <f t="shared" si="5"/>
        <v>#REF!</v>
      </c>
      <c r="R18" s="62" t="e">
        <f t="shared" si="5"/>
        <v>#REF!</v>
      </c>
      <c r="S18" s="62" t="e">
        <f t="shared" ref="S18:T18" si="6">S16+S17</f>
        <v>#REF!</v>
      </c>
      <c r="T18" s="62" t="e">
        <f t="shared" si="6"/>
        <v>#REF!</v>
      </c>
      <c r="U18" s="62" t="e">
        <f t="shared" si="5"/>
        <v>#REF!</v>
      </c>
      <c r="V18" s="62" t="e">
        <f t="shared" si="5"/>
        <v>#REF!</v>
      </c>
      <c r="W18" s="62" t="e">
        <f t="shared" si="5"/>
        <v>#REF!</v>
      </c>
      <c r="X18" s="62" t="e">
        <f t="shared" si="5"/>
        <v>#REF!</v>
      </c>
      <c r="Y18" s="62">
        <f t="shared" si="5"/>
        <v>0</v>
      </c>
      <c r="Z18" s="16"/>
      <c r="AA18" s="62" t="e">
        <f>$K18*#REF!/12</f>
        <v>#REF!</v>
      </c>
      <c r="AB18" s="60" t="e">
        <f t="shared" si="3"/>
        <v>#REF!</v>
      </c>
      <c r="AD18" s="62" t="e">
        <f>$L18*#REF!/12</f>
        <v>#REF!</v>
      </c>
      <c r="AE18" s="60" t="e">
        <f t="shared" si="4"/>
        <v>#REF!</v>
      </c>
    </row>
    <row r="19" spans="1:33" ht="8.25" customHeight="1" x14ac:dyDescent="0.2">
      <c r="A19" s="116"/>
      <c r="F19" s="8"/>
      <c r="G19" s="16"/>
      <c r="K19" s="8"/>
      <c r="L19" s="8"/>
      <c r="Z19" s="16"/>
      <c r="AB19" s="8"/>
      <c r="AE19" s="8"/>
    </row>
    <row r="20" spans="1:33" s="7" customFormat="1" ht="18" customHeight="1" x14ac:dyDescent="0.2">
      <c r="A20" s="117" t="s">
        <v>310</v>
      </c>
      <c r="B20" s="117" t="s">
        <v>203</v>
      </c>
      <c r="C20" s="5" t="e">
        <f>IF(AND($Y20=0,AA20=0),0,IF(AA20=0,IF($Y20&gt;=0,AB20/$Y20,-AB20/$Y20),IF(AA20&gt;=0,AB20/AA20,-AB20/AA20)))</f>
        <v>#REF!</v>
      </c>
      <c r="D20" s="5" t="e">
        <f>IF(AND($Y20=0,AD20=0),0,IF(AD20=0,IF($Y20&gt;=0,AE20/$Y20,-AE20/$Y20),IF(AD20&gt;=0,AE20/AD20,-AE20/AD20)))</f>
        <v>#REF!</v>
      </c>
      <c r="F20" s="118" t="s">
        <v>326</v>
      </c>
      <c r="G20" s="16"/>
      <c r="H20" s="120">
        <f>_xll.GetCtData("PKAMOUNT","AMOUNT",$A$1:$A$3,$A20:$B20,H$3:H$5,"#-38,251")</f>
        <v>-38.250999999999998</v>
      </c>
      <c r="I20" s="120">
        <f>_xll.GetCtData("PKAMOUNT","AMOUNT",$A$1:$A$3,$A20:$B20,I$3:I$5,"#-16,282")</f>
        <v>-16.282</v>
      </c>
      <c r="J20" s="120">
        <f>_xll.GetCtData("PKAMOUNT","AMOUNT",$A$1:$A$3,$A20:$B20,J$3:J$5,"#-16,282")</f>
        <v>-16.282</v>
      </c>
      <c r="K20" s="121">
        <f>_xll.GetCtData("PKAMOUNT","AMOUNT",$A$1:$A$3,$A20:$B20,K$3:K$5,"#")</f>
        <v>0</v>
      </c>
      <c r="L20" s="121">
        <f>_xll.GetCtData("PKAMOUNT","AMOUNT",$A$1:$A$3,$A20:$B20,L$3:L$5,"#")</f>
        <v>0</v>
      </c>
      <c r="M20" s="120">
        <f>_xll.GetCtData("PKAMOUNT","AMOUNT",$A$1:$A$3,$A20:$B20,M$3:M$5,"#")</f>
        <v>0</v>
      </c>
      <c r="N20" s="120" t="e">
        <f>IF(N$1&lt;=#REF!,_xll.GetCtData("PKAMOUNT","AMOUNT",$A$1:$A$3,$A20:$B20,N$3:N$5,"#")-SUM($M20:M20),0)</f>
        <v>#REF!</v>
      </c>
      <c r="O20" s="120" t="e">
        <f>IF(O$1&lt;=#REF!,_xll.GetCtData("PKAMOUNT","AMOUNT",$A$1:$A$3,$A20:$B20,O$3:O$5,"#")-SUM($M20:N20),0)</f>
        <v>#REF!</v>
      </c>
      <c r="P20" s="120" t="e">
        <f>IF(P$1&lt;=#REF!,_xll.GetCtData("PKAMOUNT","AMOUNT",$A$1:$A$3,$A20:$B20,P$3:P$5,"#")-SUM($M20:O20),0)</f>
        <v>#REF!</v>
      </c>
      <c r="Q20" s="120" t="e">
        <f>IF(Q$1&lt;=#REF!,_xll.GetCtData("PKAMOUNT","AMOUNT",$A$1:$A$3,$A20:$B20,Q$3:Q$5,"#")-SUM($M20:P20),0)</f>
        <v>#REF!</v>
      </c>
      <c r="R20" s="120" t="e">
        <f>IF(R$1&lt;=#REF!,_xll.GetCtData("PKAMOUNT","AMOUNT",$A$1:$A$3,$A20:$B20,R$3:R$5,"#")-SUM($M20:Q20),0)</f>
        <v>#REF!</v>
      </c>
      <c r="S20" s="120" t="e">
        <f>IF(S$1&lt;=#REF!,_xll.GetCtData("PKAMOUNT","AMOUNT",$A$1:$A$3,$A20:$B20,S$3:S$5,"#")-SUM($M20:R20),0)</f>
        <v>#REF!</v>
      </c>
      <c r="T20" s="120" t="e">
        <f>IF(T$1&lt;=#REF!,_xll.GetCtData("PKAMOUNT","AMOUNT",$A$1:$A$3,$A20:$B20,T$3:T$5,"#")-SUM($M20:S20),0)</f>
        <v>#REF!</v>
      </c>
      <c r="U20" s="120" t="e">
        <f>IF(U$1&lt;=#REF!,_xll.GetCtData("PKAMOUNT","AMOUNT",$A$1:$A$3,$A20:$B20,U$3:U$5,"#")-SUM($M20:T20),0)</f>
        <v>#REF!</v>
      </c>
      <c r="V20" s="120" t="e">
        <f>IF(V$1&lt;=#REF!,_xll.GetCtData("PKAMOUNT","AMOUNT",$A$1:$A$3,$A20:$B20,V$3:V$5,"#")-SUM($M20:U20),0)</f>
        <v>#REF!</v>
      </c>
      <c r="W20" s="120" t="e">
        <f>IF(W$1&lt;=#REF!,_xll.GetCtData("PKAMOUNT","AMOUNT",$A$1:$A$3,$A20:$B20,W$3:W$5,"#")-SUM($M20:V20),0)</f>
        <v>#REF!</v>
      </c>
      <c r="X20" s="120" t="e">
        <f>IF(X$1&lt;=#REF!,_xll.GetCtData("PKAMOUNT","AMOUNT",$A$1:$A$3,$A20:$B20,X$3:X$5,"#")-SUM($M20:W20),0)</f>
        <v>#REF!</v>
      </c>
      <c r="Y20" s="120">
        <f>_xll.GetCtData("PKAMOUNT","AMOUNT",$A$1:$A$3,$A20:$B20,Y$3:Y$5,"#")</f>
        <v>0</v>
      </c>
      <c r="Z20" s="16"/>
      <c r="AA20" s="120" t="e">
        <f>$K20*#REF!/12</f>
        <v>#REF!</v>
      </c>
      <c r="AB20" s="60" t="e">
        <f>ROUND($Y20-AA20,2)</f>
        <v>#REF!</v>
      </c>
      <c r="AC20" s="119"/>
      <c r="AD20" s="120" t="e">
        <f>$L20*#REF!/12</f>
        <v>#REF!</v>
      </c>
      <c r="AE20" s="60" t="e">
        <f>ROUND($Y20-AD20,2)</f>
        <v>#REF!</v>
      </c>
    </row>
    <row r="21" spans="1:33" ht="8.25" customHeight="1" x14ac:dyDescent="0.2">
      <c r="A21" s="116"/>
      <c r="F21" s="8"/>
      <c r="G21" s="16"/>
      <c r="K21" s="8"/>
      <c r="L21" s="8"/>
      <c r="Z21" s="16"/>
      <c r="AB21" s="8"/>
      <c r="AE21" s="8"/>
    </row>
    <row r="22" spans="1:33" ht="18" customHeight="1" x14ac:dyDescent="0.2">
      <c r="A22" s="30" t="s">
        <v>310</v>
      </c>
      <c r="B22" s="30" t="s">
        <v>115</v>
      </c>
      <c r="C22" s="4" t="e">
        <f t="shared" ref="C22:C33" si="7">IF(AND($Y22=0,AA22=0),0,IF(AA22=0,IF($Y22&gt;=0,AB22/$Y22,-AB22/$Y22),IF(AA22&gt;=0,AB22/AA22,-AB22/AA22)))</f>
        <v>#REF!</v>
      </c>
      <c r="D22" s="4" t="e">
        <f t="shared" ref="D22:D33" si="8">IF(AND($Y22=0,AD22=0),0,IF(AD22=0,IF($Y22&gt;=0,AE22/$Y22,-AE22/$Y22),IF(AD22&gt;=0,AE22/AD22,-AE22/AD22)))</f>
        <v>#REF!</v>
      </c>
      <c r="F22" s="51" t="s">
        <v>327</v>
      </c>
      <c r="G22" s="16"/>
      <c r="H22" s="61">
        <f>_xll.GetCtData("PKAMOUNT","AMOUNT",$A$1:$A$3,$A22:$B22,H$3:H$5,"#")</f>
        <v>0</v>
      </c>
      <c r="I22" s="61">
        <f>_xll.GetCtData("PKAMOUNT","AMOUNT",$A$1:$A$3,$A22:$B22,I$3:I$5,"#")</f>
        <v>0</v>
      </c>
      <c r="J22" s="61">
        <f>_xll.GetCtData("PKAMOUNT","AMOUNT",$A$1:$A$3,$A22:$B22,J$3:J$5,"#")</f>
        <v>0</v>
      </c>
      <c r="K22" s="86">
        <f>_xll.GetCtData("PKAMOUNT","AMOUNT",$A$1:$A$3,$A22:$B22,K$3:K$5,"#")</f>
        <v>0</v>
      </c>
      <c r="L22" s="86">
        <f>_xll.GetCtData("PKAMOUNT","AMOUNT",$A$1:$A$3,$A22:$B22,L$3:L$5,"#")</f>
        <v>0</v>
      </c>
      <c r="M22" s="61">
        <f>_xll.GetCtData("PKAMOUNT","AMOUNT",$A$1:$A$3,$A22:$B22,M$3:M$5,"#")</f>
        <v>0</v>
      </c>
      <c r="N22" s="61" t="e">
        <f>IF(N$1&lt;=#REF!,_xll.GetCtData("PKAMOUNT","AMOUNT",$A$1:$A$3,$A22:$B22,N$3:N$5,"#")-SUM($M22:M22),0)</f>
        <v>#REF!</v>
      </c>
      <c r="O22" s="61" t="e">
        <f>IF(O$1&lt;=#REF!,_xll.GetCtData("PKAMOUNT","AMOUNT",$A$1:$A$3,$A22:$B22,O$3:O$5,"#")-SUM($M22:N22),0)</f>
        <v>#REF!</v>
      </c>
      <c r="P22" s="61" t="e">
        <f>IF(P$1&lt;=#REF!,_xll.GetCtData("PKAMOUNT","AMOUNT",$A$1:$A$3,$A22:$B22,P$3:P$5,"#")-SUM($M22:O22),0)</f>
        <v>#REF!</v>
      </c>
      <c r="Q22" s="61" t="e">
        <f>IF(Q$1&lt;=#REF!,_xll.GetCtData("PKAMOUNT","AMOUNT",$A$1:$A$3,$A22:$B22,Q$3:Q$5,"#")-SUM($M22:P22),0)</f>
        <v>#REF!</v>
      </c>
      <c r="R22" s="61" t="e">
        <f>IF(R$1&lt;=#REF!,_xll.GetCtData("PKAMOUNT","AMOUNT",$A$1:$A$3,$A22:$B22,R$3:R$5,"#")-SUM($M22:Q22),0)</f>
        <v>#REF!</v>
      </c>
      <c r="S22" s="61" t="e">
        <f>IF(S$1&lt;=#REF!,_xll.GetCtData("PKAMOUNT","AMOUNT",$A$1:$A$3,$A22:$B22,S$3:S$5,"#")-SUM($M22:R22),0)</f>
        <v>#REF!</v>
      </c>
      <c r="T22" s="61" t="e">
        <f>IF(T$1&lt;=#REF!,_xll.GetCtData("PKAMOUNT","AMOUNT",$A$1:$A$3,$A22:$B22,T$3:T$5,"#")-SUM($M22:S22),0)</f>
        <v>#REF!</v>
      </c>
      <c r="U22" s="61" t="e">
        <f>IF(U$1&lt;=#REF!,_xll.GetCtData("PKAMOUNT","AMOUNT",$A$1:$A$3,$A22:$B22,U$3:U$5,"#")-SUM($M22:T22),0)</f>
        <v>#REF!</v>
      </c>
      <c r="V22" s="61" t="e">
        <f>IF(V$1&lt;=#REF!,_xll.GetCtData("PKAMOUNT","AMOUNT",$A$1:$A$3,$A22:$B22,V$3:V$5,"#")-SUM($M22:U22),0)</f>
        <v>#REF!</v>
      </c>
      <c r="W22" s="61" t="e">
        <f>IF(W$1&lt;=#REF!,_xll.GetCtData("PKAMOUNT","AMOUNT",$A$1:$A$3,$A22:$B22,W$3:W$5,"#")-SUM($M22:V22),0)</f>
        <v>#REF!</v>
      </c>
      <c r="X22" s="61" t="e">
        <f>IF(X$1&lt;=#REF!,_xll.GetCtData("PKAMOUNT","AMOUNT",$A$1:$A$3,$A22:$B22,X$3:X$5,"#")-SUM($M22:W22),0)</f>
        <v>#REF!</v>
      </c>
      <c r="Y22" s="61">
        <f>_xll.GetCtData("PKAMOUNT","AMOUNT",$A$1:$A$3,$A22:$B22,Y$3:Y$5,"#")</f>
        <v>0</v>
      </c>
      <c r="Z22" s="16"/>
      <c r="AA22" s="61" t="e">
        <f>$K22*#REF!/12</f>
        <v>#REF!</v>
      </c>
      <c r="AB22" s="60" t="e">
        <f t="shared" ref="AB22:AB33" si="9">ROUND($Y22-AA22,2)</f>
        <v>#REF!</v>
      </c>
      <c r="AC22" s="34"/>
      <c r="AD22" s="61" t="e">
        <f>$L22*#REF!/12</f>
        <v>#REF!</v>
      </c>
      <c r="AE22" s="60" t="e">
        <f t="shared" ref="AE22:AE33" si="10">ROUND($Y22-AD22,2)</f>
        <v>#REF!</v>
      </c>
    </row>
    <row r="23" spans="1:33" ht="18" customHeight="1" x14ac:dyDescent="0.2">
      <c r="A23" s="30" t="s">
        <v>310</v>
      </c>
      <c r="B23" s="30" t="s">
        <v>116</v>
      </c>
      <c r="C23" s="4" t="e">
        <f t="shared" si="7"/>
        <v>#REF!</v>
      </c>
      <c r="D23" s="4" t="e">
        <f t="shared" si="8"/>
        <v>#REF!</v>
      </c>
      <c r="F23" s="51" t="s">
        <v>328</v>
      </c>
      <c r="G23" s="16"/>
      <c r="H23" s="61">
        <f>_xll.GetCtData("PKAMOUNT","AMOUNT",$A$1:$A$3,$A23:$B23,H$3:H$5,"#")</f>
        <v>0</v>
      </c>
      <c r="I23" s="61">
        <f>_xll.GetCtData("PKAMOUNT","AMOUNT",$A$1:$A$3,$A23:$B23,I$3:I$5,"#")</f>
        <v>0</v>
      </c>
      <c r="J23" s="61">
        <f>_xll.GetCtData("PKAMOUNT","AMOUNT",$A$1:$A$3,$A23:$B23,J$3:J$5,"#")</f>
        <v>0</v>
      </c>
      <c r="K23" s="86">
        <f>_xll.GetCtData("PKAMOUNT","AMOUNT",$A$1:$A$3,$A23:$B23,K$3:K$5,"#")</f>
        <v>0</v>
      </c>
      <c r="L23" s="86">
        <f>_xll.GetCtData("PKAMOUNT","AMOUNT",$A$1:$A$3,$A23:$B23,L$3:L$5,"#")</f>
        <v>0</v>
      </c>
      <c r="M23" s="61">
        <f>_xll.GetCtData("PKAMOUNT","AMOUNT",$A$1:$A$3,$A23:$B23,M$3:M$5,"#")</f>
        <v>0</v>
      </c>
      <c r="N23" s="61" t="e">
        <f>IF(N$1&lt;=#REF!,_xll.GetCtData("PKAMOUNT","AMOUNT",$A$1:$A$3,$A23:$B23,N$3:N$5,"#")-SUM($M23:M23),0)</f>
        <v>#REF!</v>
      </c>
      <c r="O23" s="61" t="e">
        <f>IF(O$1&lt;=#REF!,_xll.GetCtData("PKAMOUNT","AMOUNT",$A$1:$A$3,$A23:$B23,O$3:O$5,"#")-SUM($M23:N23),0)</f>
        <v>#REF!</v>
      </c>
      <c r="P23" s="61" t="e">
        <f>IF(P$1&lt;=#REF!,_xll.GetCtData("PKAMOUNT","AMOUNT",$A$1:$A$3,$A23:$B23,P$3:P$5,"#")-SUM($M23:O23),0)</f>
        <v>#REF!</v>
      </c>
      <c r="Q23" s="61" t="e">
        <f>IF(Q$1&lt;=#REF!,_xll.GetCtData("PKAMOUNT","AMOUNT",$A$1:$A$3,$A23:$B23,Q$3:Q$5,"#")-SUM($M23:P23),0)</f>
        <v>#REF!</v>
      </c>
      <c r="R23" s="61" t="e">
        <f>IF(R$1&lt;=#REF!,_xll.GetCtData("PKAMOUNT","AMOUNT",$A$1:$A$3,$A23:$B23,R$3:R$5,"#")-SUM($M23:Q23),0)</f>
        <v>#REF!</v>
      </c>
      <c r="S23" s="61" t="e">
        <f>IF(S$1&lt;=#REF!,_xll.GetCtData("PKAMOUNT","AMOUNT",$A$1:$A$3,$A23:$B23,S$3:S$5,"#")-SUM($M23:R23),0)</f>
        <v>#REF!</v>
      </c>
      <c r="T23" s="61" t="e">
        <f>IF(T$1&lt;=#REF!,_xll.GetCtData("PKAMOUNT","AMOUNT",$A$1:$A$3,$A23:$B23,T$3:T$5,"#")-SUM($M23:S23),0)</f>
        <v>#REF!</v>
      </c>
      <c r="U23" s="61" t="e">
        <f>IF(U$1&lt;=#REF!,_xll.GetCtData("PKAMOUNT","AMOUNT",$A$1:$A$3,$A23:$B23,U$3:U$5,"#")-SUM($M23:T23),0)</f>
        <v>#REF!</v>
      </c>
      <c r="V23" s="61" t="e">
        <f>IF(V$1&lt;=#REF!,_xll.GetCtData("PKAMOUNT","AMOUNT",$A$1:$A$3,$A23:$B23,V$3:V$5,"#")-SUM($M23:U23),0)</f>
        <v>#REF!</v>
      </c>
      <c r="W23" s="61" t="e">
        <f>IF(W$1&lt;=#REF!,_xll.GetCtData("PKAMOUNT","AMOUNT",$A$1:$A$3,$A23:$B23,W$3:W$5,"#")-SUM($M23:V23),0)</f>
        <v>#REF!</v>
      </c>
      <c r="X23" s="61" t="e">
        <f>IF(X$1&lt;=#REF!,_xll.GetCtData("PKAMOUNT","AMOUNT",$A$1:$A$3,$A23:$B23,X$3:X$5,"#")-SUM($M23:W23),0)</f>
        <v>#REF!</v>
      </c>
      <c r="Y23" s="61">
        <f>_xll.GetCtData("PKAMOUNT","AMOUNT",$A$1:$A$3,$A23:$B23,Y$3:Y$5,"#")</f>
        <v>0</v>
      </c>
      <c r="Z23" s="16"/>
      <c r="AA23" s="61" t="e">
        <f>$K23*#REF!/12</f>
        <v>#REF!</v>
      </c>
      <c r="AB23" s="60" t="e">
        <f t="shared" si="9"/>
        <v>#REF!</v>
      </c>
      <c r="AC23" s="34"/>
      <c r="AD23" s="61" t="e">
        <f>$L23*#REF!/12</f>
        <v>#REF!</v>
      </c>
      <c r="AE23" s="60" t="e">
        <f t="shared" si="10"/>
        <v>#REF!</v>
      </c>
    </row>
    <row r="24" spans="1:33" ht="18" hidden="1" customHeight="1" outlineLevel="1" x14ac:dyDescent="0.2">
      <c r="A24" s="46" t="s">
        <v>298</v>
      </c>
      <c r="B24" s="46" t="s">
        <v>117</v>
      </c>
      <c r="C24" s="47" t="e">
        <f t="shared" si="7"/>
        <v>#REF!</v>
      </c>
      <c r="D24" s="47" t="e">
        <f t="shared" si="8"/>
        <v>#REF!</v>
      </c>
      <c r="E24" s="31"/>
      <c r="F24" s="94" t="s">
        <v>329</v>
      </c>
      <c r="G24" s="16"/>
      <c r="H24" s="59">
        <f>_xll.GetCtData("PKAMOUNT","AMOUNT",$A$1:$A$3,$A24:$B24,H$3:H$5,"#")</f>
        <v>0</v>
      </c>
      <c r="I24" s="59">
        <f>_xll.GetCtData("PKAMOUNT","AMOUNT",$A$1:$A$3,$A24:$B24,I$3:I$5,"#")</f>
        <v>0</v>
      </c>
      <c r="J24" s="59">
        <f>_xll.GetCtData("PKAMOUNT","AMOUNT",$A$1:$A$3,$A24:$B24,J$3:J$5,"#")</f>
        <v>0</v>
      </c>
      <c r="K24" s="59">
        <f>_xll.GetCtData("PKAMOUNT","AMOUNT",$A$1:$A$3,$A24:$B24,K$3:K$5,"#")</f>
        <v>0</v>
      </c>
      <c r="L24" s="59">
        <f>_xll.GetCtData("PKAMOUNT","AMOUNT",$A$1:$A$3,$A24:$B24,L$3:L$5,"#")</f>
        <v>0</v>
      </c>
      <c r="M24" s="59">
        <f>_xll.GetCtData("PKAMOUNT","AMOUNT",$A$1:$A$3,$A24:$B24,M$3:M$5,"#")</f>
        <v>0</v>
      </c>
      <c r="N24" s="59" t="e">
        <f>IF(N$1&lt;=#REF!,_xll.GetCtData("PKAMOUNT","AMOUNT",$A$1:$A$3,$A24:$B24,N$3:N$5,"#")-SUM($M24:M24),0)</f>
        <v>#REF!</v>
      </c>
      <c r="O24" s="59" t="e">
        <f>IF(O$1&lt;=#REF!,_xll.GetCtData("PKAMOUNT","AMOUNT",$A$1:$A$3,$A24:$B24,O$3:O$5,"#")-SUM($M24:N24),0)</f>
        <v>#REF!</v>
      </c>
      <c r="P24" s="59" t="e">
        <f>IF(P$1&lt;=#REF!,_xll.GetCtData("PKAMOUNT","AMOUNT",$A$1:$A$3,$A24:$B24,P$3:P$5,"#")-SUM($M24:O24),0)</f>
        <v>#REF!</v>
      </c>
      <c r="Q24" s="59" t="e">
        <f>IF(Q$1&lt;=#REF!,_xll.GetCtData("PKAMOUNT","AMOUNT",$A$1:$A$3,$A24:$B24,Q$3:Q$5,"#")-SUM($M24:P24),0)</f>
        <v>#REF!</v>
      </c>
      <c r="R24" s="59" t="e">
        <f>IF(R$1&lt;=#REF!,_xll.GetCtData("PKAMOUNT","AMOUNT",$A$1:$A$3,$A24:$B24,R$3:R$5,"#")-SUM($M24:Q24),0)</f>
        <v>#REF!</v>
      </c>
      <c r="S24" s="59" t="e">
        <f>IF(S$1&lt;=#REF!,_xll.GetCtData("PKAMOUNT","AMOUNT",$A$1:$A$3,$A24:$B24,S$3:S$5,"#")-SUM($M24:R24),0)</f>
        <v>#REF!</v>
      </c>
      <c r="T24" s="59" t="e">
        <f>IF(T$1&lt;=#REF!,_xll.GetCtData("PKAMOUNT","AMOUNT",$A$1:$A$3,$A24:$B24,T$3:T$5,"#")-SUM($M24:S24),0)</f>
        <v>#REF!</v>
      </c>
      <c r="U24" s="59" t="e">
        <f>IF(U$1&lt;=#REF!,_xll.GetCtData("PKAMOUNT","AMOUNT",$A$1:$A$3,$A24:$B24,U$3:U$5,"#")-SUM($M24:T24),0)</f>
        <v>#REF!</v>
      </c>
      <c r="V24" s="59" t="e">
        <f>IF(V$1&lt;=#REF!,_xll.GetCtData("PKAMOUNT","AMOUNT",$A$1:$A$3,$A24:$B24,V$3:V$5,"#")-SUM($M24:U24),0)</f>
        <v>#REF!</v>
      </c>
      <c r="W24" s="59" t="e">
        <f>IF(W$1&lt;=#REF!,_xll.GetCtData("PKAMOUNT","AMOUNT",$A$1:$A$3,$A24:$B24,W$3:W$5,"#")-SUM($M24:V24),0)</f>
        <v>#REF!</v>
      </c>
      <c r="X24" s="59" t="e">
        <f>IF(X$1&lt;=#REF!,_xll.GetCtData("PKAMOUNT","AMOUNT",$A$1:$A$3,$A24:$B24,X$3:X$5,"#")-SUM($M24:W24),0)</f>
        <v>#REF!</v>
      </c>
      <c r="Y24" s="59">
        <f>_xll.GetCtData("PKAMOUNT","AMOUNT",$A$1:$A$3,$A24:$B24,Y$3:Y$5,"#")</f>
        <v>0</v>
      </c>
      <c r="Z24" s="16"/>
      <c r="AA24" s="59" t="e">
        <f>$K24*#REF!/12</f>
        <v>#REF!</v>
      </c>
      <c r="AB24" s="63" t="e">
        <f t="shared" si="9"/>
        <v>#REF!</v>
      </c>
      <c r="AC24" s="31"/>
      <c r="AD24" s="59" t="e">
        <f>$L24*#REF!/12</f>
        <v>#REF!</v>
      </c>
      <c r="AE24" s="63" t="e">
        <f t="shared" si="10"/>
        <v>#REF!</v>
      </c>
    </row>
    <row r="25" spans="1:33" ht="18" customHeight="1" collapsed="1" x14ac:dyDescent="0.2">
      <c r="A25" s="32"/>
      <c r="B25" s="32"/>
      <c r="C25" s="4" t="e">
        <f t="shared" si="7"/>
        <v>#REF!</v>
      </c>
      <c r="D25" s="4" t="e">
        <f t="shared" si="8"/>
        <v>#REF!</v>
      </c>
      <c r="F25" s="51" t="s">
        <v>372</v>
      </c>
      <c r="G25" s="16"/>
      <c r="H25" s="61">
        <f t="shared" ref="H25:Y25" si="11">H24-H40</f>
        <v>0</v>
      </c>
      <c r="I25" s="61">
        <f t="shared" si="11"/>
        <v>0</v>
      </c>
      <c r="J25" s="61">
        <f t="shared" si="11"/>
        <v>0</v>
      </c>
      <c r="K25" s="86">
        <f t="shared" si="11"/>
        <v>0</v>
      </c>
      <c r="L25" s="86">
        <f t="shared" si="11"/>
        <v>0</v>
      </c>
      <c r="M25" s="61">
        <f t="shared" si="11"/>
        <v>0</v>
      </c>
      <c r="N25" s="61" t="e">
        <f t="shared" si="11"/>
        <v>#REF!</v>
      </c>
      <c r="O25" s="61" t="e">
        <f t="shared" si="11"/>
        <v>#REF!</v>
      </c>
      <c r="P25" s="61" t="e">
        <f t="shared" si="11"/>
        <v>#REF!</v>
      </c>
      <c r="Q25" s="61" t="e">
        <f t="shared" si="11"/>
        <v>#REF!</v>
      </c>
      <c r="R25" s="61" t="e">
        <f t="shared" si="11"/>
        <v>#REF!</v>
      </c>
      <c r="S25" s="61" t="e">
        <f t="shared" ref="S25:T25" si="12">S24-S40</f>
        <v>#REF!</v>
      </c>
      <c r="T25" s="61" t="e">
        <f t="shared" si="12"/>
        <v>#REF!</v>
      </c>
      <c r="U25" s="61" t="e">
        <f t="shared" si="11"/>
        <v>#REF!</v>
      </c>
      <c r="V25" s="61" t="e">
        <f t="shared" si="11"/>
        <v>#REF!</v>
      </c>
      <c r="W25" s="61" t="e">
        <f t="shared" si="11"/>
        <v>#REF!</v>
      </c>
      <c r="X25" s="61" t="e">
        <f t="shared" si="11"/>
        <v>#REF!</v>
      </c>
      <c r="Y25" s="61">
        <f t="shared" si="11"/>
        <v>0</v>
      </c>
      <c r="Z25" s="16"/>
      <c r="AA25" s="61" t="e">
        <f>$K25*#REF!/12</f>
        <v>#REF!</v>
      </c>
      <c r="AB25" s="60" t="e">
        <f t="shared" si="9"/>
        <v>#REF!</v>
      </c>
      <c r="AC25" s="34"/>
      <c r="AD25" s="61" t="e">
        <f>$L25*#REF!/12</f>
        <v>#REF!</v>
      </c>
      <c r="AE25" s="60" t="e">
        <f t="shared" si="10"/>
        <v>#REF!</v>
      </c>
      <c r="AG25" s="48"/>
    </row>
    <row r="26" spans="1:33" ht="18" customHeight="1" x14ac:dyDescent="0.2">
      <c r="A26" s="30" t="s">
        <v>310</v>
      </c>
      <c r="B26" s="30" t="s">
        <v>330</v>
      </c>
      <c r="C26" s="4" t="e">
        <f t="shared" si="7"/>
        <v>#REF!</v>
      </c>
      <c r="D26" s="4" t="e">
        <f t="shared" si="8"/>
        <v>#REF!</v>
      </c>
      <c r="F26" s="51" t="s">
        <v>331</v>
      </c>
      <c r="G26" s="16"/>
      <c r="H26" s="61">
        <f>_xll.GetCtData("PKAMOUNT","AMOUNT",$A$1:$A$3,$A26:$B26,H$3:H$5,"#")</f>
        <v>0</v>
      </c>
      <c r="I26" s="61">
        <f>_xll.GetCtData("PKAMOUNT","AMOUNT",$A$1:$A$3,$A26:$B26,I$3:I$5,"#")</f>
        <v>0</v>
      </c>
      <c r="J26" s="61">
        <f>_xll.GetCtData("PKAMOUNT","AMOUNT",$A$1:$A$3,$A26:$B26,J$3:J$5,"#")</f>
        <v>0</v>
      </c>
      <c r="K26" s="86">
        <f>_xll.GetCtData("PKAMOUNT","AMOUNT",$A$1:$A$3,$A26:$B26,K$3:K$5,"#")</f>
        <v>0</v>
      </c>
      <c r="L26" s="86">
        <f>_xll.GetCtData("PKAMOUNT","AMOUNT",$A$1:$A$3,$A26:$B26,L$3:L$5,"#")</f>
        <v>0</v>
      </c>
      <c r="M26" s="61">
        <f>_xll.GetCtData("PKAMOUNT","AMOUNT",$A$1:$A$3,$A26:$B26,M$3:M$5,"#")</f>
        <v>0</v>
      </c>
      <c r="N26" s="61" t="e">
        <f>IF(N$1&lt;=#REF!,_xll.GetCtData("PKAMOUNT","AMOUNT",$A$1:$A$3,$A26:$B26,N$3:N$5,"#")-SUM($M26:M26),0)</f>
        <v>#REF!</v>
      </c>
      <c r="O26" s="61" t="e">
        <f>IF(O$1&lt;=#REF!,_xll.GetCtData("PKAMOUNT","AMOUNT",$A$1:$A$3,$A26:$B26,O$3:O$5,"#")-SUM($M26:N26),0)</f>
        <v>#REF!</v>
      </c>
      <c r="P26" s="61" t="e">
        <f>IF(P$1&lt;=#REF!,_xll.GetCtData("PKAMOUNT","AMOUNT",$A$1:$A$3,$A26:$B26,P$3:P$5,"#")-SUM($M26:O26),0)</f>
        <v>#REF!</v>
      </c>
      <c r="Q26" s="61" t="e">
        <f>IF(Q$1&lt;=#REF!,_xll.GetCtData("PKAMOUNT","AMOUNT",$A$1:$A$3,$A26:$B26,Q$3:Q$5,"#")-SUM($M26:P26),0)</f>
        <v>#REF!</v>
      </c>
      <c r="R26" s="61" t="e">
        <f>IF(R$1&lt;=#REF!,_xll.GetCtData("PKAMOUNT","AMOUNT",$A$1:$A$3,$A26:$B26,R$3:R$5,"#")-SUM($M26:Q26),0)</f>
        <v>#REF!</v>
      </c>
      <c r="S26" s="61" t="e">
        <f>IF(S$1&lt;=#REF!,_xll.GetCtData("PKAMOUNT","AMOUNT",$A$1:$A$3,$A26:$B26,S$3:S$5,"#")-SUM($M26:R26),0)</f>
        <v>#REF!</v>
      </c>
      <c r="T26" s="61" t="e">
        <f>IF(T$1&lt;=#REF!,_xll.GetCtData("PKAMOUNT","AMOUNT",$A$1:$A$3,$A26:$B26,T$3:T$5,"#")-SUM($M26:S26),0)</f>
        <v>#REF!</v>
      </c>
      <c r="U26" s="61" t="e">
        <f>IF(U$1&lt;=#REF!,_xll.GetCtData("PKAMOUNT","AMOUNT",$A$1:$A$3,$A26:$B26,U$3:U$5,"#")-SUM($M26:T26),0)</f>
        <v>#REF!</v>
      </c>
      <c r="V26" s="61" t="e">
        <f>IF(V$1&lt;=#REF!,_xll.GetCtData("PKAMOUNT","AMOUNT",$A$1:$A$3,$A26:$B26,V$3:V$5,"#")-SUM($M26:U26),0)</f>
        <v>#REF!</v>
      </c>
      <c r="W26" s="61" t="e">
        <f>IF(W$1&lt;=#REF!,_xll.GetCtData("PKAMOUNT","AMOUNT",$A$1:$A$3,$A26:$B26,W$3:W$5,"#")-SUM($M26:V26),0)</f>
        <v>#REF!</v>
      </c>
      <c r="X26" s="61" t="e">
        <f>IF(X$1&lt;=#REF!,_xll.GetCtData("PKAMOUNT","AMOUNT",$A$1:$A$3,$A26:$B26,X$3:X$5,"#")-SUM($M26:W26),0)</f>
        <v>#REF!</v>
      </c>
      <c r="Y26" s="61">
        <f>_xll.GetCtData("PKAMOUNT","AMOUNT",$A$1:$A$3,$A26:$B26,Y$3:Y$5,"#")</f>
        <v>0</v>
      </c>
      <c r="Z26" s="16"/>
      <c r="AA26" s="61" t="e">
        <f>$K26*#REF!/12</f>
        <v>#REF!</v>
      </c>
      <c r="AB26" s="60" t="e">
        <f t="shared" si="9"/>
        <v>#REF!</v>
      </c>
      <c r="AC26" s="34"/>
      <c r="AD26" s="61" t="e">
        <f>$L26*#REF!/12</f>
        <v>#REF!</v>
      </c>
      <c r="AE26" s="60" t="e">
        <f t="shared" si="10"/>
        <v>#REF!</v>
      </c>
    </row>
    <row r="27" spans="1:33" ht="18" customHeight="1" x14ac:dyDescent="0.2">
      <c r="A27" s="30" t="s">
        <v>310</v>
      </c>
      <c r="B27" s="30" t="s">
        <v>332</v>
      </c>
      <c r="C27" s="4" t="e">
        <f t="shared" si="7"/>
        <v>#REF!</v>
      </c>
      <c r="D27" s="4" t="e">
        <f t="shared" si="8"/>
        <v>#REF!</v>
      </c>
      <c r="F27" s="51" t="s">
        <v>333</v>
      </c>
      <c r="G27" s="16"/>
      <c r="H27" s="61">
        <f>_xll.GetCtData("PKAMOUNT","AMOUNT",$A$1:$A$3,$A27:$B27,H$3:H$5,"#")</f>
        <v>0</v>
      </c>
      <c r="I27" s="61">
        <f>_xll.GetCtData("PKAMOUNT","AMOUNT",$A$1:$A$3,$A27:$B27,I$3:I$5,"#")</f>
        <v>0</v>
      </c>
      <c r="J27" s="61">
        <f>_xll.GetCtData("PKAMOUNT","AMOUNT",$A$1:$A$3,$A27:$B27,J$3:J$5,"#")</f>
        <v>0</v>
      </c>
      <c r="K27" s="86">
        <f>_xll.GetCtData("PKAMOUNT","AMOUNT",$A$1:$A$3,$A27:$B27,K$3:K$5,"#")</f>
        <v>0</v>
      </c>
      <c r="L27" s="86">
        <f>_xll.GetCtData("PKAMOUNT","AMOUNT",$A$1:$A$3,$A27:$B27,L$3:L$5,"#")</f>
        <v>0</v>
      </c>
      <c r="M27" s="61">
        <f>_xll.GetCtData("PKAMOUNT","AMOUNT",$A$1:$A$3,$A27:$B27,M$3:M$5,"#")</f>
        <v>0</v>
      </c>
      <c r="N27" s="61" t="e">
        <f>IF(N$1&lt;=#REF!,_xll.GetCtData("PKAMOUNT","AMOUNT",$A$1:$A$3,$A27:$B27,N$3:N$5,"#")-SUM($M27:M27),0)</f>
        <v>#REF!</v>
      </c>
      <c r="O27" s="61" t="e">
        <f>IF(O$1&lt;=#REF!,_xll.GetCtData("PKAMOUNT","AMOUNT",$A$1:$A$3,$A27:$B27,O$3:O$5,"#")-SUM($M27:N27),0)</f>
        <v>#REF!</v>
      </c>
      <c r="P27" s="61" t="e">
        <f>IF(P$1&lt;=#REF!,_xll.GetCtData("PKAMOUNT","AMOUNT",$A$1:$A$3,$A27:$B27,P$3:P$5,"#")-SUM($M27:O27),0)</f>
        <v>#REF!</v>
      </c>
      <c r="Q27" s="61" t="e">
        <f>IF(Q$1&lt;=#REF!,_xll.GetCtData("PKAMOUNT","AMOUNT",$A$1:$A$3,$A27:$B27,Q$3:Q$5,"#")-SUM($M27:P27),0)</f>
        <v>#REF!</v>
      </c>
      <c r="R27" s="61" t="e">
        <f>IF(R$1&lt;=#REF!,_xll.GetCtData("PKAMOUNT","AMOUNT",$A$1:$A$3,$A27:$B27,R$3:R$5,"#")-SUM($M27:Q27),0)</f>
        <v>#REF!</v>
      </c>
      <c r="S27" s="61" t="e">
        <f>IF(S$1&lt;=#REF!,_xll.GetCtData("PKAMOUNT","AMOUNT",$A$1:$A$3,$A27:$B27,S$3:S$5,"#")-SUM($M27:R27),0)</f>
        <v>#REF!</v>
      </c>
      <c r="T27" s="61" t="e">
        <f>IF(T$1&lt;=#REF!,_xll.GetCtData("PKAMOUNT","AMOUNT",$A$1:$A$3,$A27:$B27,T$3:T$5,"#")-SUM($M27:S27),0)</f>
        <v>#REF!</v>
      </c>
      <c r="U27" s="61" t="e">
        <f>IF(U$1&lt;=#REF!,_xll.GetCtData("PKAMOUNT","AMOUNT",$A$1:$A$3,$A27:$B27,U$3:U$5,"#")-SUM($M27:T27),0)</f>
        <v>#REF!</v>
      </c>
      <c r="V27" s="61" t="e">
        <f>IF(V$1&lt;=#REF!,_xll.GetCtData("PKAMOUNT","AMOUNT",$A$1:$A$3,$A27:$B27,V$3:V$5,"#")-SUM($M27:U27),0)</f>
        <v>#REF!</v>
      </c>
      <c r="W27" s="61" t="e">
        <f>IF(W$1&lt;=#REF!,_xll.GetCtData("PKAMOUNT","AMOUNT",$A$1:$A$3,$A27:$B27,W$3:W$5,"#")-SUM($M27:V27),0)</f>
        <v>#REF!</v>
      </c>
      <c r="X27" s="61" t="e">
        <f>IF(X$1&lt;=#REF!,_xll.GetCtData("PKAMOUNT","AMOUNT",$A$1:$A$3,$A27:$B27,X$3:X$5,"#")-SUM($M27:W27),0)</f>
        <v>#REF!</v>
      </c>
      <c r="Y27" s="61">
        <f>_xll.GetCtData("PKAMOUNT","AMOUNT",$A$1:$A$3,$A27:$B27,Y$3:Y$5,"#")</f>
        <v>0</v>
      </c>
      <c r="Z27" s="16"/>
      <c r="AA27" s="61" t="e">
        <f>$K27*#REF!/12</f>
        <v>#REF!</v>
      </c>
      <c r="AB27" s="60" t="e">
        <f t="shared" si="9"/>
        <v>#REF!</v>
      </c>
      <c r="AC27" s="34"/>
      <c r="AD27" s="61" t="e">
        <f>$L27*#REF!/12</f>
        <v>#REF!</v>
      </c>
      <c r="AE27" s="60" t="e">
        <f t="shared" si="10"/>
        <v>#REF!</v>
      </c>
    </row>
    <row r="28" spans="1:33" ht="18" customHeight="1" x14ac:dyDescent="0.2">
      <c r="A28" s="30" t="s">
        <v>310</v>
      </c>
      <c r="B28" s="30" t="s">
        <v>335</v>
      </c>
      <c r="C28" s="4" t="e">
        <f t="shared" si="7"/>
        <v>#REF!</v>
      </c>
      <c r="D28" s="4" t="e">
        <f t="shared" si="8"/>
        <v>#REF!</v>
      </c>
      <c r="F28" s="51" t="s">
        <v>336</v>
      </c>
      <c r="G28" s="16"/>
      <c r="H28" s="61">
        <f>_xll.GetCtData("PKAMOUNT","AMOUNT",$A$1:$A$3,$A28:$B28,H$3:H$5,"#")</f>
        <v>0</v>
      </c>
      <c r="I28" s="61">
        <f>_xll.GetCtData("PKAMOUNT","AMOUNT",$A$1:$A$3,$A28:$B28,I$3:I$5,"#")</f>
        <v>0</v>
      </c>
      <c r="J28" s="61">
        <f>_xll.GetCtData("PKAMOUNT","AMOUNT",$A$1:$A$3,$A28:$B28,J$3:J$5,"#")</f>
        <v>0</v>
      </c>
      <c r="K28" s="86">
        <f>_xll.GetCtData("PKAMOUNT","AMOUNT",$A$1:$A$3,$A28:$B28,K$3:K$5,"#")</f>
        <v>0</v>
      </c>
      <c r="L28" s="86">
        <f>_xll.GetCtData("PKAMOUNT","AMOUNT",$A$1:$A$3,$A28:$B28,L$3:L$5,"#")</f>
        <v>0</v>
      </c>
      <c r="M28" s="61">
        <f>_xll.GetCtData("PKAMOUNT","AMOUNT",$A$1:$A$3,$A28:$B28,M$3:M$5,"#")</f>
        <v>0</v>
      </c>
      <c r="N28" s="61" t="e">
        <f>IF(N$1&lt;=#REF!,_xll.GetCtData("PKAMOUNT","AMOUNT",$A$1:$A$3,$A28:$B28,N$3:N$5,"#")-SUM($M28:M28),0)</f>
        <v>#REF!</v>
      </c>
      <c r="O28" s="61" t="e">
        <f>IF(O$1&lt;=#REF!,_xll.GetCtData("PKAMOUNT","AMOUNT",$A$1:$A$3,$A28:$B28,O$3:O$5,"#")-SUM($M28:N28),0)</f>
        <v>#REF!</v>
      </c>
      <c r="P28" s="61" t="e">
        <f>IF(P$1&lt;=#REF!,_xll.GetCtData("PKAMOUNT","AMOUNT",$A$1:$A$3,$A28:$B28,P$3:P$5,"#")-SUM($M28:O28),0)</f>
        <v>#REF!</v>
      </c>
      <c r="Q28" s="61" t="e">
        <f>IF(Q$1&lt;=#REF!,_xll.GetCtData("PKAMOUNT","AMOUNT",$A$1:$A$3,$A28:$B28,Q$3:Q$5,"#")-SUM($M28:P28),0)</f>
        <v>#REF!</v>
      </c>
      <c r="R28" s="61" t="e">
        <f>IF(R$1&lt;=#REF!,_xll.GetCtData("PKAMOUNT","AMOUNT",$A$1:$A$3,$A28:$B28,R$3:R$5,"#")-SUM($M28:Q28),0)</f>
        <v>#REF!</v>
      </c>
      <c r="S28" s="61" t="e">
        <f>IF(S$1&lt;=#REF!,_xll.GetCtData("PKAMOUNT","AMOUNT",$A$1:$A$3,$A28:$B28,S$3:S$5,"#")-SUM($M28:R28),0)</f>
        <v>#REF!</v>
      </c>
      <c r="T28" s="61" t="e">
        <f>IF(T$1&lt;=#REF!,_xll.GetCtData("PKAMOUNT","AMOUNT",$A$1:$A$3,$A28:$B28,T$3:T$5,"#")-SUM($M28:S28),0)</f>
        <v>#REF!</v>
      </c>
      <c r="U28" s="61" t="e">
        <f>IF(U$1&lt;=#REF!,_xll.GetCtData("PKAMOUNT","AMOUNT",$A$1:$A$3,$A28:$B28,U$3:U$5,"#")-SUM($M28:T28),0)</f>
        <v>#REF!</v>
      </c>
      <c r="V28" s="61" t="e">
        <f>IF(V$1&lt;=#REF!,_xll.GetCtData("PKAMOUNT","AMOUNT",$A$1:$A$3,$A28:$B28,V$3:V$5,"#")-SUM($M28:U28),0)</f>
        <v>#REF!</v>
      </c>
      <c r="W28" s="61" t="e">
        <f>IF(W$1&lt;=#REF!,_xll.GetCtData("PKAMOUNT","AMOUNT",$A$1:$A$3,$A28:$B28,W$3:W$5,"#")-SUM($M28:V28),0)</f>
        <v>#REF!</v>
      </c>
      <c r="X28" s="61" t="e">
        <f>IF(X$1&lt;=#REF!,_xll.GetCtData("PKAMOUNT","AMOUNT",$A$1:$A$3,$A28:$B28,X$3:X$5,"#")-SUM($M28:W28),0)</f>
        <v>#REF!</v>
      </c>
      <c r="Y28" s="61">
        <f>_xll.GetCtData("PKAMOUNT","AMOUNT",$A$1:$A$3,$A28:$B28,Y$3:Y$5,"#")</f>
        <v>0</v>
      </c>
      <c r="Z28" s="16"/>
      <c r="AA28" s="61" t="e">
        <f>$K28*#REF!/12</f>
        <v>#REF!</v>
      </c>
      <c r="AB28" s="60" t="e">
        <f t="shared" si="9"/>
        <v>#REF!</v>
      </c>
      <c r="AC28" s="34"/>
      <c r="AD28" s="61" t="e">
        <f>$L28*#REF!/12</f>
        <v>#REF!</v>
      </c>
      <c r="AE28" s="60" t="e">
        <f t="shared" si="10"/>
        <v>#REF!</v>
      </c>
    </row>
    <row r="29" spans="1:33" ht="18" customHeight="1" x14ac:dyDescent="0.2">
      <c r="A29" s="30" t="s">
        <v>310</v>
      </c>
      <c r="B29" s="30" t="s">
        <v>337</v>
      </c>
      <c r="C29" s="4" t="e">
        <f t="shared" si="7"/>
        <v>#REF!</v>
      </c>
      <c r="D29" s="4" t="e">
        <f t="shared" si="8"/>
        <v>#REF!</v>
      </c>
      <c r="F29" s="51" t="s">
        <v>338</v>
      </c>
      <c r="G29" s="16"/>
      <c r="H29" s="61">
        <f>_xll.GetCtData("PKAMOUNT","AMOUNT",$A$1:$A$3,$A29:$B29,H$3:H$5,"#")</f>
        <v>0</v>
      </c>
      <c r="I29" s="61">
        <f>_xll.GetCtData("PKAMOUNT","AMOUNT",$A$1:$A$3,$A29:$B29,I$3:I$5,"#")</f>
        <v>0</v>
      </c>
      <c r="J29" s="61">
        <f>_xll.GetCtData("PKAMOUNT","AMOUNT",$A$1:$A$3,$A29:$B29,J$3:J$5,"#")</f>
        <v>0</v>
      </c>
      <c r="K29" s="86">
        <f>_xll.GetCtData("PKAMOUNT","AMOUNT",$A$1:$A$3,$A29:$B29,K$3:K$5,"#")</f>
        <v>0</v>
      </c>
      <c r="L29" s="86">
        <f>_xll.GetCtData("PKAMOUNT","AMOUNT",$A$1:$A$3,$A29:$B29,L$3:L$5,"#")</f>
        <v>0</v>
      </c>
      <c r="M29" s="61">
        <f>_xll.GetCtData("PKAMOUNT","AMOUNT",$A$1:$A$3,$A29:$B29,M$3:M$5,"#")</f>
        <v>0</v>
      </c>
      <c r="N29" s="61" t="e">
        <f>IF(N$1&lt;=#REF!,_xll.GetCtData("PKAMOUNT","AMOUNT",$A$1:$A$3,$A29:$B29,N$3:N$5,"#")-SUM($M29:M29),0)</f>
        <v>#REF!</v>
      </c>
      <c r="O29" s="61" t="e">
        <f>IF(O$1&lt;=#REF!,_xll.GetCtData("PKAMOUNT","AMOUNT",$A$1:$A$3,$A29:$B29,O$3:O$5,"#")-SUM($M29:N29),0)</f>
        <v>#REF!</v>
      </c>
      <c r="P29" s="61" t="e">
        <f>IF(P$1&lt;=#REF!,_xll.GetCtData("PKAMOUNT","AMOUNT",$A$1:$A$3,$A29:$B29,P$3:P$5,"#")-SUM($M29:O29),0)</f>
        <v>#REF!</v>
      </c>
      <c r="Q29" s="61" t="e">
        <f>IF(Q$1&lt;=#REF!,_xll.GetCtData("PKAMOUNT","AMOUNT",$A$1:$A$3,$A29:$B29,Q$3:Q$5,"#")-SUM($M29:P29),0)</f>
        <v>#REF!</v>
      </c>
      <c r="R29" s="61" t="e">
        <f>IF(R$1&lt;=#REF!,_xll.GetCtData("PKAMOUNT","AMOUNT",$A$1:$A$3,$A29:$B29,R$3:R$5,"#")-SUM($M29:Q29),0)</f>
        <v>#REF!</v>
      </c>
      <c r="S29" s="61" t="e">
        <f>IF(S$1&lt;=#REF!,_xll.GetCtData("PKAMOUNT","AMOUNT",$A$1:$A$3,$A29:$B29,S$3:S$5,"#")-SUM($M29:R29),0)</f>
        <v>#REF!</v>
      </c>
      <c r="T29" s="61" t="e">
        <f>IF(T$1&lt;=#REF!,_xll.GetCtData("PKAMOUNT","AMOUNT",$A$1:$A$3,$A29:$B29,T$3:T$5,"#")-SUM($M29:S29),0)</f>
        <v>#REF!</v>
      </c>
      <c r="U29" s="61" t="e">
        <f>IF(U$1&lt;=#REF!,_xll.GetCtData("PKAMOUNT","AMOUNT",$A$1:$A$3,$A29:$B29,U$3:U$5,"#")-SUM($M29:T29),0)</f>
        <v>#REF!</v>
      </c>
      <c r="V29" s="61" t="e">
        <f>IF(V$1&lt;=#REF!,_xll.GetCtData("PKAMOUNT","AMOUNT",$A$1:$A$3,$A29:$B29,V$3:V$5,"#")-SUM($M29:U29),0)</f>
        <v>#REF!</v>
      </c>
      <c r="W29" s="61" t="e">
        <f>IF(W$1&lt;=#REF!,_xll.GetCtData("PKAMOUNT","AMOUNT",$A$1:$A$3,$A29:$B29,W$3:W$5,"#")-SUM($M29:V29),0)</f>
        <v>#REF!</v>
      </c>
      <c r="X29" s="61" t="e">
        <f>IF(X$1&lt;=#REF!,_xll.GetCtData("PKAMOUNT","AMOUNT",$A$1:$A$3,$A29:$B29,X$3:X$5,"#")-SUM($M29:W29),0)</f>
        <v>#REF!</v>
      </c>
      <c r="Y29" s="61">
        <f>_xll.GetCtData("PKAMOUNT","AMOUNT",$A$1:$A$3,$A29:$B29,Y$3:Y$5,"#")</f>
        <v>0</v>
      </c>
      <c r="Z29" s="16"/>
      <c r="AA29" s="61" t="e">
        <f>$K29*#REF!/12</f>
        <v>#REF!</v>
      </c>
      <c r="AB29" s="60" t="e">
        <f t="shared" si="9"/>
        <v>#REF!</v>
      </c>
      <c r="AC29" s="34"/>
      <c r="AD29" s="61" t="e">
        <f>$L29*#REF!/12</f>
        <v>#REF!</v>
      </c>
      <c r="AE29" s="60" t="e">
        <f t="shared" si="10"/>
        <v>#REF!</v>
      </c>
    </row>
    <row r="30" spans="1:33" ht="18" customHeight="1" x14ac:dyDescent="0.2">
      <c r="A30" s="30" t="s">
        <v>310</v>
      </c>
      <c r="B30" s="30" t="s">
        <v>339</v>
      </c>
      <c r="C30" s="4" t="e">
        <f t="shared" si="7"/>
        <v>#REF!</v>
      </c>
      <c r="D30" s="4" t="e">
        <f t="shared" si="8"/>
        <v>#REF!</v>
      </c>
      <c r="F30" s="51" t="s">
        <v>340</v>
      </c>
      <c r="G30" s="16"/>
      <c r="H30" s="61">
        <f>_xll.GetCtData("PKAMOUNT","AMOUNT",$A$1:$A$3,$A30:$B30,H$3:H$5,"#")</f>
        <v>0</v>
      </c>
      <c r="I30" s="61">
        <f>_xll.GetCtData("PKAMOUNT","AMOUNT",$A$1:$A$3,$A30:$B30,I$3:I$5,"#")</f>
        <v>0</v>
      </c>
      <c r="J30" s="61">
        <f>_xll.GetCtData("PKAMOUNT","AMOUNT",$A$1:$A$3,$A30:$B30,J$3:J$5,"#")</f>
        <v>0</v>
      </c>
      <c r="K30" s="86">
        <f>_xll.GetCtData("PKAMOUNT","AMOUNT",$A$1:$A$3,$A30:$B30,K$3:K$5,"#")</f>
        <v>0</v>
      </c>
      <c r="L30" s="86">
        <f>_xll.GetCtData("PKAMOUNT","AMOUNT",$A$1:$A$3,$A30:$B30,L$3:L$5,"#")</f>
        <v>0</v>
      </c>
      <c r="M30" s="61">
        <f>_xll.GetCtData("PKAMOUNT","AMOUNT",$A$1:$A$3,$A30:$B30,M$3:M$5,"#")</f>
        <v>0</v>
      </c>
      <c r="N30" s="61" t="e">
        <f>IF(N$1&lt;=#REF!,_xll.GetCtData("PKAMOUNT","AMOUNT",$A$1:$A$3,$A30:$B30,N$3:N$5,"#")-SUM($M30:M30),0)</f>
        <v>#REF!</v>
      </c>
      <c r="O30" s="61" t="e">
        <f>IF(O$1&lt;=#REF!,_xll.GetCtData("PKAMOUNT","AMOUNT",$A$1:$A$3,$A30:$B30,O$3:O$5,"#")-SUM($M30:N30),0)</f>
        <v>#REF!</v>
      </c>
      <c r="P30" s="61" t="e">
        <f>IF(P$1&lt;=#REF!,_xll.GetCtData("PKAMOUNT","AMOUNT",$A$1:$A$3,$A30:$B30,P$3:P$5,"#")-SUM($M30:O30),0)</f>
        <v>#REF!</v>
      </c>
      <c r="Q30" s="61" t="e">
        <f>IF(Q$1&lt;=#REF!,_xll.GetCtData("PKAMOUNT","AMOUNT",$A$1:$A$3,$A30:$B30,Q$3:Q$5,"#")-SUM($M30:P30),0)</f>
        <v>#REF!</v>
      </c>
      <c r="R30" s="61" t="e">
        <f>IF(R$1&lt;=#REF!,_xll.GetCtData("PKAMOUNT","AMOUNT",$A$1:$A$3,$A30:$B30,R$3:R$5,"#")-SUM($M30:Q30),0)</f>
        <v>#REF!</v>
      </c>
      <c r="S30" s="61" t="e">
        <f>IF(S$1&lt;=#REF!,_xll.GetCtData("PKAMOUNT","AMOUNT",$A$1:$A$3,$A30:$B30,S$3:S$5,"#")-SUM($M30:R30),0)</f>
        <v>#REF!</v>
      </c>
      <c r="T30" s="61" t="e">
        <f>IF(T$1&lt;=#REF!,_xll.GetCtData("PKAMOUNT","AMOUNT",$A$1:$A$3,$A30:$B30,T$3:T$5,"#")-SUM($M30:S30),0)</f>
        <v>#REF!</v>
      </c>
      <c r="U30" s="61" t="e">
        <f>IF(U$1&lt;=#REF!,_xll.GetCtData("PKAMOUNT","AMOUNT",$A$1:$A$3,$A30:$B30,U$3:U$5,"#")-SUM($M30:T30),0)</f>
        <v>#REF!</v>
      </c>
      <c r="V30" s="61" t="e">
        <f>IF(V$1&lt;=#REF!,_xll.GetCtData("PKAMOUNT","AMOUNT",$A$1:$A$3,$A30:$B30,V$3:V$5,"#")-SUM($M30:U30),0)</f>
        <v>#REF!</v>
      </c>
      <c r="W30" s="61" t="e">
        <f>IF(W$1&lt;=#REF!,_xll.GetCtData("PKAMOUNT","AMOUNT",$A$1:$A$3,$A30:$B30,W$3:W$5,"#")-SUM($M30:V30),0)</f>
        <v>#REF!</v>
      </c>
      <c r="X30" s="61" t="e">
        <f>IF(X$1&lt;=#REF!,_xll.GetCtData("PKAMOUNT","AMOUNT",$A$1:$A$3,$A30:$B30,X$3:X$5,"#")-SUM($M30:W30),0)</f>
        <v>#REF!</v>
      </c>
      <c r="Y30" s="61">
        <f>_xll.GetCtData("PKAMOUNT","AMOUNT",$A$1:$A$3,$A30:$B30,Y$3:Y$5,"#")</f>
        <v>0</v>
      </c>
      <c r="Z30" s="16"/>
      <c r="AA30" s="61" t="e">
        <f>$K30*#REF!/12</f>
        <v>#REF!</v>
      </c>
      <c r="AB30" s="60" t="e">
        <f t="shared" si="9"/>
        <v>#REF!</v>
      </c>
      <c r="AC30" s="34"/>
      <c r="AD30" s="61" t="e">
        <f>$L30*#REF!/12</f>
        <v>#REF!</v>
      </c>
      <c r="AE30" s="60" t="e">
        <f t="shared" si="10"/>
        <v>#REF!</v>
      </c>
    </row>
    <row r="31" spans="1:33" ht="18" customHeight="1" x14ac:dyDescent="0.2">
      <c r="A31" s="30" t="s">
        <v>310</v>
      </c>
      <c r="B31" s="30" t="s">
        <v>341</v>
      </c>
      <c r="C31" s="4" t="e">
        <f t="shared" si="7"/>
        <v>#REF!</v>
      </c>
      <c r="D31" s="4" t="e">
        <f t="shared" si="8"/>
        <v>#REF!</v>
      </c>
      <c r="F31" s="51" t="s">
        <v>342</v>
      </c>
      <c r="G31" s="16"/>
      <c r="H31" s="61">
        <f>_xll.GetCtData("PKAMOUNT","AMOUNT",$A$1:$A$3,$A31:$B31,H$3:H$5,"#")</f>
        <v>0</v>
      </c>
      <c r="I31" s="61">
        <f>_xll.GetCtData("PKAMOUNT","AMOUNT",$A$1:$A$3,$A31:$B31,I$3:I$5,"#")</f>
        <v>0</v>
      </c>
      <c r="J31" s="61">
        <f>_xll.GetCtData("PKAMOUNT","AMOUNT",$A$1:$A$3,$A31:$B31,J$3:J$5,"#")</f>
        <v>0</v>
      </c>
      <c r="K31" s="86">
        <f>_xll.GetCtData("PKAMOUNT","AMOUNT",$A$1:$A$3,$A31:$B31,K$3:K$5,"#")</f>
        <v>0</v>
      </c>
      <c r="L31" s="86">
        <f>_xll.GetCtData("PKAMOUNT","AMOUNT",$A$1:$A$3,$A31:$B31,L$3:L$5,"#")</f>
        <v>0</v>
      </c>
      <c r="M31" s="61">
        <f>_xll.GetCtData("PKAMOUNT","AMOUNT",$A$1:$A$3,$A31:$B31,M$3:M$5,"#")</f>
        <v>0</v>
      </c>
      <c r="N31" s="61" t="e">
        <f>IF(N$1&lt;=#REF!,_xll.GetCtData("PKAMOUNT","AMOUNT",$A$1:$A$3,$A31:$B31,N$3:N$5,"#")-SUM($M31:M31),0)</f>
        <v>#REF!</v>
      </c>
      <c r="O31" s="61" t="e">
        <f>IF(O$1&lt;=#REF!,_xll.GetCtData("PKAMOUNT","AMOUNT",$A$1:$A$3,$A31:$B31,O$3:O$5,"#")-SUM($M31:N31),0)</f>
        <v>#REF!</v>
      </c>
      <c r="P31" s="61" t="e">
        <f>IF(P$1&lt;=#REF!,_xll.GetCtData("PKAMOUNT","AMOUNT",$A$1:$A$3,$A31:$B31,P$3:P$5,"#")-SUM($M31:O31),0)</f>
        <v>#REF!</v>
      </c>
      <c r="Q31" s="61" t="e">
        <f>IF(Q$1&lt;=#REF!,_xll.GetCtData("PKAMOUNT","AMOUNT",$A$1:$A$3,$A31:$B31,Q$3:Q$5,"#")-SUM($M31:P31),0)</f>
        <v>#REF!</v>
      </c>
      <c r="R31" s="61" t="e">
        <f>IF(R$1&lt;=#REF!,_xll.GetCtData("PKAMOUNT","AMOUNT",$A$1:$A$3,$A31:$B31,R$3:R$5,"#")-SUM($M31:Q31),0)</f>
        <v>#REF!</v>
      </c>
      <c r="S31" s="61" t="e">
        <f>IF(S$1&lt;=#REF!,_xll.GetCtData("PKAMOUNT","AMOUNT",$A$1:$A$3,$A31:$B31,S$3:S$5,"#")-SUM($M31:R31),0)</f>
        <v>#REF!</v>
      </c>
      <c r="T31" s="61" t="e">
        <f>IF(T$1&lt;=#REF!,_xll.GetCtData("PKAMOUNT","AMOUNT",$A$1:$A$3,$A31:$B31,T$3:T$5,"#")-SUM($M31:S31),0)</f>
        <v>#REF!</v>
      </c>
      <c r="U31" s="61" t="e">
        <f>IF(U$1&lt;=#REF!,_xll.GetCtData("PKAMOUNT","AMOUNT",$A$1:$A$3,$A31:$B31,U$3:U$5,"#")-SUM($M31:T31),0)</f>
        <v>#REF!</v>
      </c>
      <c r="V31" s="61" t="e">
        <f>IF(V$1&lt;=#REF!,_xll.GetCtData("PKAMOUNT","AMOUNT",$A$1:$A$3,$A31:$B31,V$3:V$5,"#")-SUM($M31:U31),0)</f>
        <v>#REF!</v>
      </c>
      <c r="W31" s="61" t="e">
        <f>IF(W$1&lt;=#REF!,_xll.GetCtData("PKAMOUNT","AMOUNT",$A$1:$A$3,$A31:$B31,W$3:W$5,"#")-SUM($M31:V31),0)</f>
        <v>#REF!</v>
      </c>
      <c r="X31" s="61" t="e">
        <f>IF(X$1&lt;=#REF!,_xll.GetCtData("PKAMOUNT","AMOUNT",$A$1:$A$3,$A31:$B31,X$3:X$5,"#")-SUM($M31:W31),0)</f>
        <v>#REF!</v>
      </c>
      <c r="Y31" s="61">
        <f>_xll.GetCtData("PKAMOUNT","AMOUNT",$A$1:$A$3,$A31:$B31,Y$3:Y$5,"#")</f>
        <v>0</v>
      </c>
      <c r="Z31" s="16"/>
      <c r="AA31" s="61" t="e">
        <f>$K31*#REF!/12</f>
        <v>#REF!</v>
      </c>
      <c r="AB31" s="60" t="e">
        <f t="shared" si="9"/>
        <v>#REF!</v>
      </c>
      <c r="AC31" s="34"/>
      <c r="AD31" s="61" t="e">
        <f>$L31*#REF!/12</f>
        <v>#REF!</v>
      </c>
      <c r="AE31" s="60" t="e">
        <f t="shared" si="10"/>
        <v>#REF!</v>
      </c>
    </row>
    <row r="32" spans="1:33" ht="18" customHeight="1" x14ac:dyDescent="0.2">
      <c r="A32" s="32"/>
      <c r="B32" s="32"/>
      <c r="C32" s="4" t="e">
        <f t="shared" si="7"/>
        <v>#REF!</v>
      </c>
      <c r="D32" s="4" t="e">
        <f t="shared" si="8"/>
        <v>#REF!</v>
      </c>
      <c r="F32" s="51" t="s">
        <v>343</v>
      </c>
      <c r="G32" s="16"/>
      <c r="H32" s="61">
        <f>H56-H20-H22-H23-H25-H26-H27-H28-H29-H30-H31-H52-H54</f>
        <v>0</v>
      </c>
      <c r="I32" s="61">
        <f t="shared" ref="I32:Y32" si="13">I56-I20-I22-I23-I25-I26-I27-I28-I29-I30-I31-I52-I54</f>
        <v>0</v>
      </c>
      <c r="J32" s="61">
        <f t="shared" si="13"/>
        <v>0</v>
      </c>
      <c r="K32" s="86">
        <f t="shared" si="13"/>
        <v>0</v>
      </c>
      <c r="L32" s="86">
        <f t="shared" si="13"/>
        <v>0</v>
      </c>
      <c r="M32" s="61">
        <f t="shared" si="13"/>
        <v>0</v>
      </c>
      <c r="N32" s="61" t="e">
        <f t="shared" si="13"/>
        <v>#REF!</v>
      </c>
      <c r="O32" s="61" t="e">
        <f t="shared" si="13"/>
        <v>#REF!</v>
      </c>
      <c r="P32" s="61" t="e">
        <f t="shared" si="13"/>
        <v>#REF!</v>
      </c>
      <c r="Q32" s="61" t="e">
        <f t="shared" si="13"/>
        <v>#REF!</v>
      </c>
      <c r="R32" s="61" t="e">
        <f t="shared" si="13"/>
        <v>#REF!</v>
      </c>
      <c r="S32" s="61" t="e">
        <f t="shared" ref="S32:T32" si="14">S56-S20-S22-S23-S25-S26-S27-S28-S29-S30-S31-S52-S54</f>
        <v>#REF!</v>
      </c>
      <c r="T32" s="61" t="e">
        <f t="shared" si="14"/>
        <v>#REF!</v>
      </c>
      <c r="U32" s="61" t="e">
        <f t="shared" si="13"/>
        <v>#REF!</v>
      </c>
      <c r="V32" s="61" t="e">
        <f t="shared" si="13"/>
        <v>#REF!</v>
      </c>
      <c r="W32" s="61" t="e">
        <f t="shared" si="13"/>
        <v>#REF!</v>
      </c>
      <c r="X32" s="61" t="e">
        <f t="shared" si="13"/>
        <v>#REF!</v>
      </c>
      <c r="Y32" s="61">
        <f t="shared" si="13"/>
        <v>0</v>
      </c>
      <c r="Z32" s="16"/>
      <c r="AA32" s="61" t="e">
        <f>$K32*#REF!/12</f>
        <v>#REF!</v>
      </c>
      <c r="AB32" s="60" t="e">
        <f t="shared" si="9"/>
        <v>#REF!</v>
      </c>
      <c r="AC32" s="34"/>
      <c r="AD32" s="61" t="e">
        <f>$L32*#REF!/12</f>
        <v>#REF!</v>
      </c>
      <c r="AE32" s="60" t="e">
        <f t="shared" si="10"/>
        <v>#REF!</v>
      </c>
    </row>
    <row r="33" spans="1:33" s="7" customFormat="1" ht="18" customHeight="1" x14ac:dyDescent="0.2">
      <c r="A33" s="32"/>
      <c r="B33" s="32"/>
      <c r="C33" s="5" t="e">
        <f t="shared" si="7"/>
        <v>#REF!</v>
      </c>
      <c r="D33" s="5" t="e">
        <f t="shared" si="8"/>
        <v>#REF!</v>
      </c>
      <c r="F33" s="118" t="s">
        <v>373</v>
      </c>
      <c r="G33" s="16"/>
      <c r="H33" s="120">
        <f>H22+H23+H25+H26+H27+H28+H29+H30+H31+H32</f>
        <v>0</v>
      </c>
      <c r="I33" s="120">
        <f t="shared" ref="I33:Y33" si="15">I22+I23+I25+I26+I27+I28+I29+I30+I31+I32</f>
        <v>0</v>
      </c>
      <c r="J33" s="120">
        <f t="shared" si="15"/>
        <v>0</v>
      </c>
      <c r="K33" s="121">
        <f t="shared" si="15"/>
        <v>0</v>
      </c>
      <c r="L33" s="121">
        <f t="shared" si="15"/>
        <v>0</v>
      </c>
      <c r="M33" s="120">
        <f t="shared" si="15"/>
        <v>0</v>
      </c>
      <c r="N33" s="120" t="e">
        <f t="shared" si="15"/>
        <v>#REF!</v>
      </c>
      <c r="O33" s="120" t="e">
        <f t="shared" si="15"/>
        <v>#REF!</v>
      </c>
      <c r="P33" s="120" t="e">
        <f t="shared" si="15"/>
        <v>#REF!</v>
      </c>
      <c r="Q33" s="120" t="e">
        <f t="shared" si="15"/>
        <v>#REF!</v>
      </c>
      <c r="R33" s="120" t="e">
        <f t="shared" si="15"/>
        <v>#REF!</v>
      </c>
      <c r="S33" s="120" t="e">
        <f t="shared" ref="S33:T33" si="16">S22+S23+S25+S26+S27+S28+S29+S30+S31+S32</f>
        <v>#REF!</v>
      </c>
      <c r="T33" s="120" t="e">
        <f t="shared" si="16"/>
        <v>#REF!</v>
      </c>
      <c r="U33" s="120" t="e">
        <f t="shared" si="15"/>
        <v>#REF!</v>
      </c>
      <c r="V33" s="120" t="e">
        <f t="shared" si="15"/>
        <v>#REF!</v>
      </c>
      <c r="W33" s="120" t="e">
        <f t="shared" si="15"/>
        <v>#REF!</v>
      </c>
      <c r="X33" s="120" t="e">
        <f t="shared" si="15"/>
        <v>#REF!</v>
      </c>
      <c r="Y33" s="120">
        <f t="shared" si="15"/>
        <v>0</v>
      </c>
      <c r="Z33" s="16"/>
      <c r="AA33" s="120" t="e">
        <f>$K33*#REF!/12</f>
        <v>#REF!</v>
      </c>
      <c r="AB33" s="60" t="e">
        <f t="shared" si="9"/>
        <v>#REF!</v>
      </c>
      <c r="AC33" s="122"/>
      <c r="AD33" s="120" t="e">
        <f>$L33*#REF!/12</f>
        <v>#REF!</v>
      </c>
      <c r="AE33" s="60" t="e">
        <f t="shared" si="10"/>
        <v>#REF!</v>
      </c>
    </row>
    <row r="34" spans="1:33" ht="8.25" customHeight="1" x14ac:dyDescent="0.2">
      <c r="A34" s="116"/>
      <c r="B34" s="116"/>
      <c r="C34" s="4"/>
      <c r="D34" s="4"/>
      <c r="F34" s="8"/>
      <c r="G34" s="16"/>
      <c r="K34" s="8"/>
      <c r="L34" s="8"/>
      <c r="Z34" s="16"/>
      <c r="AB34" s="8"/>
      <c r="AE34" s="8"/>
    </row>
    <row r="35" spans="1:33" ht="18" hidden="1" customHeight="1" outlineLevel="1" x14ac:dyDescent="0.2">
      <c r="A35" s="46" t="s">
        <v>303</v>
      </c>
      <c r="B35" s="46" t="s">
        <v>17</v>
      </c>
      <c r="C35" s="47" t="e">
        <f t="shared" ref="C35:C52" si="17">IF(AND($Y35=0,AA35=0),0,IF(AA35=0,IF($Y35&gt;=0,AB35/$Y35,-AB35/$Y35),IF(AA35&gt;=0,AB35/AA35,-AB35/AA35)))</f>
        <v>#REF!</v>
      </c>
      <c r="D35" s="47" t="e">
        <f t="shared" ref="D35:D52" si="18">IF(AND($Y35=0,AD35=0),0,IF(AD35=0,IF($Y35&gt;=0,AE35/$Y35,-AE35/$Y35),IF(AD35&gt;=0,AE35/AD35,-AE35/AD35)))</f>
        <v>#REF!</v>
      </c>
      <c r="E35" s="31"/>
      <c r="F35" s="94" t="s">
        <v>346</v>
      </c>
      <c r="G35" s="16"/>
      <c r="H35" s="59">
        <f>_xll.GetCtData("PKAMOUNT","AMOUNT",$A$1:$A$3,$A35:$B35,H$3:H$5,"#")</f>
        <v>0</v>
      </c>
      <c r="I35" s="59">
        <f>_xll.GetCtData("PKAMOUNT","AMOUNT",$A$1:$A$3,$A35:$B35,I$3:I$5,"#")</f>
        <v>0</v>
      </c>
      <c r="J35" s="59">
        <f>_xll.GetCtData("PKAMOUNT","AMOUNT",$A$1:$A$3,$A35:$B35,J$3:J$5,"#")</f>
        <v>0</v>
      </c>
      <c r="K35" s="59">
        <f>_xll.GetCtData("PKAMOUNT","AMOUNT",$A$1:$A$3,$A35:$B35,K$3:K$5,"#")</f>
        <v>0</v>
      </c>
      <c r="L35" s="59">
        <f>_xll.GetCtData("PKAMOUNT","AMOUNT",$A$1:$A$3,$A35:$B35,L$3:L$5,"#")</f>
        <v>0</v>
      </c>
      <c r="M35" s="59">
        <f>_xll.GetCtData("PKAMOUNT","AMOUNT",$A$1:$A$3,$A35:$B35,M$3:M$5,"#")</f>
        <v>0</v>
      </c>
      <c r="N35" s="59" t="e">
        <f>IF(N$1&lt;=#REF!,_xll.GetCtData("PKAMOUNT","AMOUNT",$A$1:$A$3,$A35:$B35,N$3:N$5,"#")-SUM($M35:M35),0)</f>
        <v>#REF!</v>
      </c>
      <c r="O35" s="59" t="e">
        <f>IF(O$1&lt;=#REF!,_xll.GetCtData("PKAMOUNT","AMOUNT",$A$1:$A$3,$A35:$B35,O$3:O$5,"#")-SUM($M35:N35),0)</f>
        <v>#REF!</v>
      </c>
      <c r="P35" s="59" t="e">
        <f>IF(P$1&lt;=#REF!,_xll.GetCtData("PKAMOUNT","AMOUNT",$A$1:$A$3,$A35:$B35,P$3:P$5,"#")-SUM($M35:O35),0)</f>
        <v>#REF!</v>
      </c>
      <c r="Q35" s="59" t="e">
        <f>IF(Q$1&lt;=#REF!,_xll.GetCtData("PKAMOUNT","AMOUNT",$A$1:$A$3,$A35:$B35,Q$3:Q$5,"#")-SUM($M35:P35),0)</f>
        <v>#REF!</v>
      </c>
      <c r="R35" s="59" t="e">
        <f>IF(R$1&lt;=#REF!,_xll.GetCtData("PKAMOUNT","AMOUNT",$A$1:$A$3,$A35:$B35,R$3:R$5,"#")-SUM($M35:Q35),0)</f>
        <v>#REF!</v>
      </c>
      <c r="S35" s="59" t="e">
        <f>IF(S$1&lt;=#REF!,_xll.GetCtData("PKAMOUNT","AMOUNT",$A$1:$A$3,$A35:$B35,S$3:S$5,"#")-SUM($M35:R35),0)</f>
        <v>#REF!</v>
      </c>
      <c r="T35" s="59" t="e">
        <f>IF(T$1&lt;=#REF!,_xll.GetCtData("PKAMOUNT","AMOUNT",$A$1:$A$3,$A35:$B35,T$3:T$5,"#")-SUM($M35:S35),0)</f>
        <v>#REF!</v>
      </c>
      <c r="U35" s="59" t="e">
        <f>IF(U$1&lt;=#REF!,_xll.GetCtData("PKAMOUNT","AMOUNT",$A$1:$A$3,$A35:$B35,U$3:U$5,"#")-SUM($M35:T35),0)</f>
        <v>#REF!</v>
      </c>
      <c r="V35" s="59" t="e">
        <f>IF(V$1&lt;=#REF!,_xll.GetCtData("PKAMOUNT","AMOUNT",$A$1:$A$3,$A35:$B35,V$3:V$5,"#")-SUM($M35:U35),0)</f>
        <v>#REF!</v>
      </c>
      <c r="W35" s="59" t="e">
        <f>IF(W$1&lt;=#REF!,_xll.GetCtData("PKAMOUNT","AMOUNT",$A$1:$A$3,$A35:$B35,W$3:W$5,"#")-SUM($M35:V35),0)</f>
        <v>#REF!</v>
      </c>
      <c r="X35" s="59" t="e">
        <f>IF(X$1&lt;=#REF!,_xll.GetCtData("PKAMOUNT","AMOUNT",$A$1:$A$3,$A35:$B35,X$3:X$5,"#")-SUM($M35:W35),0)</f>
        <v>#REF!</v>
      </c>
      <c r="Y35" s="59">
        <f>_xll.GetCtData("PKAMOUNT","AMOUNT",$A$1:$A$3,$A35:$B35,Y$3:Y$5,"#")</f>
        <v>0</v>
      </c>
      <c r="Z35" s="16"/>
      <c r="AA35" s="59" t="e">
        <f>$K35*#REF!/12</f>
        <v>#REF!</v>
      </c>
      <c r="AB35" s="63" t="e">
        <f t="shared" ref="AB35:AB52" si="19">ROUND($Y35-AA35,2)</f>
        <v>#REF!</v>
      </c>
      <c r="AC35" s="31"/>
      <c r="AD35" s="59" t="e">
        <f>$L35*#REF!/12</f>
        <v>#REF!</v>
      </c>
      <c r="AE35" s="63" t="e">
        <f t="shared" ref="AE35:AE52" si="20">ROUND($Y35-AD35,2)</f>
        <v>#REF!</v>
      </c>
    </row>
    <row r="36" spans="1:33" ht="18" hidden="1" customHeight="1" outlineLevel="1" x14ac:dyDescent="0.2">
      <c r="A36" s="46" t="s">
        <v>301</v>
      </c>
      <c r="B36" s="46" t="s">
        <v>304</v>
      </c>
      <c r="C36" s="47" t="e">
        <f t="shared" si="17"/>
        <v>#REF!</v>
      </c>
      <c r="D36" s="47" t="e">
        <f t="shared" si="18"/>
        <v>#REF!</v>
      </c>
      <c r="E36" s="31"/>
      <c r="F36" s="94" t="s">
        <v>347</v>
      </c>
      <c r="G36" s="16"/>
      <c r="H36" s="59">
        <f>_xll.GetCtData("PKAMOUNT","AMOUNT",$A$1:$A$3,$A36:$B36,H$3:H$5,"#")</f>
        <v>0</v>
      </c>
      <c r="I36" s="59">
        <f>_xll.GetCtData("PKAMOUNT","AMOUNT",$A$1:$A$3,$A36:$B36,I$3:I$5,"#")</f>
        <v>0</v>
      </c>
      <c r="J36" s="59">
        <f>_xll.GetCtData("PKAMOUNT","AMOUNT",$A$1:$A$3,$A36:$B36,J$3:J$5,"#")</f>
        <v>0</v>
      </c>
      <c r="K36" s="59">
        <f>_xll.GetCtData("PKAMOUNT","AMOUNT",$A$1:$A$3,$A36:$B36,K$3:K$5,"#")</f>
        <v>0</v>
      </c>
      <c r="L36" s="59">
        <f>_xll.GetCtData("PKAMOUNT","AMOUNT",$A$1:$A$3,$A36:$B36,L$3:L$5,"#")</f>
        <v>0</v>
      </c>
      <c r="M36" s="59">
        <f>_xll.GetCtData("PKAMOUNT","AMOUNT",$A$1:$A$3,$A36:$B36,M$3:M$5,"#")</f>
        <v>0</v>
      </c>
      <c r="N36" s="59" t="e">
        <f>IF(N$1&lt;=#REF!,_xll.GetCtData("PKAMOUNT","AMOUNT",$A$1:$A$3,$A36:$B36,N$3:N$5,"#")-SUM($M36:M36),0)</f>
        <v>#REF!</v>
      </c>
      <c r="O36" s="59" t="e">
        <f>IF(O$1&lt;=#REF!,_xll.GetCtData("PKAMOUNT","AMOUNT",$A$1:$A$3,$A36:$B36,O$3:O$5,"#")-SUM($M36:N36),0)</f>
        <v>#REF!</v>
      </c>
      <c r="P36" s="59" t="e">
        <f>IF(P$1&lt;=#REF!,_xll.GetCtData("PKAMOUNT","AMOUNT",$A$1:$A$3,$A36:$B36,P$3:P$5,"#")-SUM($M36:O36),0)</f>
        <v>#REF!</v>
      </c>
      <c r="Q36" s="59" t="e">
        <f>IF(Q$1&lt;=#REF!,_xll.GetCtData("PKAMOUNT","AMOUNT",$A$1:$A$3,$A36:$B36,Q$3:Q$5,"#")-SUM($M36:P36),0)</f>
        <v>#REF!</v>
      </c>
      <c r="R36" s="59" t="e">
        <f>IF(R$1&lt;=#REF!,_xll.GetCtData("PKAMOUNT","AMOUNT",$A$1:$A$3,$A36:$B36,R$3:R$5,"#")-SUM($M36:Q36),0)</f>
        <v>#REF!</v>
      </c>
      <c r="S36" s="59" t="e">
        <f>IF(S$1&lt;=#REF!,_xll.GetCtData("PKAMOUNT","AMOUNT",$A$1:$A$3,$A36:$B36,S$3:S$5,"#")-SUM($M36:R36),0)</f>
        <v>#REF!</v>
      </c>
      <c r="T36" s="59" t="e">
        <f>IF(T$1&lt;=#REF!,_xll.GetCtData("PKAMOUNT","AMOUNT",$A$1:$A$3,$A36:$B36,T$3:T$5,"#")-SUM($M36:S36),0)</f>
        <v>#REF!</v>
      </c>
      <c r="U36" s="59" t="e">
        <f>IF(U$1&lt;=#REF!,_xll.GetCtData("PKAMOUNT","AMOUNT",$A$1:$A$3,$A36:$B36,U$3:U$5,"#")-SUM($M36:T36),0)</f>
        <v>#REF!</v>
      </c>
      <c r="V36" s="59" t="e">
        <f>IF(V$1&lt;=#REF!,_xll.GetCtData("PKAMOUNT","AMOUNT",$A$1:$A$3,$A36:$B36,V$3:V$5,"#")-SUM($M36:U36),0)</f>
        <v>#REF!</v>
      </c>
      <c r="W36" s="59" t="e">
        <f>IF(W$1&lt;=#REF!,_xll.GetCtData("PKAMOUNT","AMOUNT",$A$1:$A$3,$A36:$B36,W$3:W$5,"#")-SUM($M36:V36),0)</f>
        <v>#REF!</v>
      </c>
      <c r="X36" s="59" t="e">
        <f>IF(X$1&lt;=#REF!,_xll.GetCtData("PKAMOUNT","AMOUNT",$A$1:$A$3,$A36:$B36,X$3:X$5,"#")-SUM($M36:W36),0)</f>
        <v>#REF!</v>
      </c>
      <c r="Y36" s="59">
        <f>_xll.GetCtData("PKAMOUNT","AMOUNT",$A$1:$A$3,$A36:$B36,Y$3:Y$5,"#")</f>
        <v>0</v>
      </c>
      <c r="Z36" s="16"/>
      <c r="AA36" s="59" t="e">
        <f>$K36*#REF!/12</f>
        <v>#REF!</v>
      </c>
      <c r="AB36" s="63" t="e">
        <f t="shared" si="19"/>
        <v>#REF!</v>
      </c>
      <c r="AC36" s="31"/>
      <c r="AD36" s="59" t="e">
        <f>$L36*#REF!/12</f>
        <v>#REF!</v>
      </c>
      <c r="AE36" s="63" t="e">
        <f t="shared" si="20"/>
        <v>#REF!</v>
      </c>
    </row>
    <row r="37" spans="1:33" ht="18" customHeight="1" collapsed="1" x14ac:dyDescent="0.2">
      <c r="A37" s="32"/>
      <c r="B37" s="32"/>
      <c r="C37" s="4" t="e">
        <f t="shared" si="17"/>
        <v>#REF!</v>
      </c>
      <c r="D37" s="4" t="e">
        <f t="shared" si="18"/>
        <v>#REF!</v>
      </c>
      <c r="F37" s="51" t="s">
        <v>323</v>
      </c>
      <c r="G37" s="16"/>
      <c r="H37" s="61">
        <f>H35+H36</f>
        <v>0</v>
      </c>
      <c r="I37" s="61">
        <f t="shared" ref="I37:Y37" si="21">I35+I36</f>
        <v>0</v>
      </c>
      <c r="J37" s="61">
        <f t="shared" si="21"/>
        <v>0</v>
      </c>
      <c r="K37" s="86">
        <f t="shared" si="21"/>
        <v>0</v>
      </c>
      <c r="L37" s="86">
        <f t="shared" si="21"/>
        <v>0</v>
      </c>
      <c r="M37" s="61">
        <f>M35+M36</f>
        <v>0</v>
      </c>
      <c r="N37" s="61" t="e">
        <f t="shared" si="21"/>
        <v>#REF!</v>
      </c>
      <c r="O37" s="61" t="e">
        <f>O35+O36</f>
        <v>#REF!</v>
      </c>
      <c r="P37" s="61" t="e">
        <f>P35+P36</f>
        <v>#REF!</v>
      </c>
      <c r="Q37" s="61" t="e">
        <f t="shared" si="21"/>
        <v>#REF!</v>
      </c>
      <c r="R37" s="61" t="e">
        <f t="shared" si="21"/>
        <v>#REF!</v>
      </c>
      <c r="S37" s="61" t="e">
        <f t="shared" ref="S37:T37" si="22">S35+S36</f>
        <v>#REF!</v>
      </c>
      <c r="T37" s="61" t="e">
        <f t="shared" si="22"/>
        <v>#REF!</v>
      </c>
      <c r="U37" s="61" t="e">
        <f t="shared" si="21"/>
        <v>#REF!</v>
      </c>
      <c r="V37" s="61" t="e">
        <f t="shared" si="21"/>
        <v>#REF!</v>
      </c>
      <c r="W37" s="61" t="e">
        <f t="shared" si="21"/>
        <v>#REF!</v>
      </c>
      <c r="X37" s="61" t="e">
        <f t="shared" si="21"/>
        <v>#REF!</v>
      </c>
      <c r="Y37" s="61">
        <f t="shared" si="21"/>
        <v>0</v>
      </c>
      <c r="Z37" s="16"/>
      <c r="AA37" s="61" t="e">
        <f>$K37*#REF!/12</f>
        <v>#REF!</v>
      </c>
      <c r="AB37" s="60" t="e">
        <f t="shared" si="19"/>
        <v>#REF!</v>
      </c>
      <c r="AC37" s="34"/>
      <c r="AD37" s="61" t="e">
        <f>$L37*#REF!/12</f>
        <v>#REF!</v>
      </c>
      <c r="AE37" s="60" t="e">
        <f t="shared" si="20"/>
        <v>#REF!</v>
      </c>
      <c r="AG37" s="48"/>
    </row>
    <row r="38" spans="1:33" ht="18" hidden="1" customHeight="1" outlineLevel="1" x14ac:dyDescent="0.2">
      <c r="A38" s="46" t="s">
        <v>300</v>
      </c>
      <c r="B38" s="46" t="s">
        <v>17</v>
      </c>
      <c r="C38" s="47" t="e">
        <f t="shared" si="17"/>
        <v>#REF!</v>
      </c>
      <c r="D38" s="47" t="e">
        <f t="shared" si="18"/>
        <v>#REF!</v>
      </c>
      <c r="E38" s="31"/>
      <c r="F38" s="94" t="s">
        <v>344</v>
      </c>
      <c r="G38" s="16"/>
      <c r="H38" s="59">
        <f>_xll.GetCtData("PKAMOUNT","AMOUNT",$A$1:$A$3,$A38:$B38,H$3:H$5,"#")</f>
        <v>0</v>
      </c>
      <c r="I38" s="59">
        <f>_xll.GetCtData("PKAMOUNT","AMOUNT",$A$1:$A$3,$A38:$B38,I$3:I$5,"#")</f>
        <v>0</v>
      </c>
      <c r="J38" s="59">
        <f>_xll.GetCtData("PKAMOUNT","AMOUNT",$A$1:$A$3,$A38:$B38,J$3:J$5,"#")</f>
        <v>0</v>
      </c>
      <c r="K38" s="59">
        <f>_xll.GetCtData("PKAMOUNT","AMOUNT",$A$1:$A$3,$A38:$B38,K$3:K$5,"#")</f>
        <v>0</v>
      </c>
      <c r="L38" s="59">
        <f>_xll.GetCtData("PKAMOUNT","AMOUNT",$A$1:$A$3,$A38:$B38,L$3:L$5,"#")</f>
        <v>0</v>
      </c>
      <c r="M38" s="59">
        <f>_xll.GetCtData("PKAMOUNT","AMOUNT",$A$1:$A$3,$A38:$B38,M$3:M$5,"#")</f>
        <v>0</v>
      </c>
      <c r="N38" s="59" t="e">
        <f>IF(N$1&lt;=#REF!,_xll.GetCtData("PKAMOUNT","AMOUNT",$A$1:$A$3,$A38:$B38,N$3:N$5,"#")-SUM($M38:M38),0)</f>
        <v>#REF!</v>
      </c>
      <c r="O38" s="59" t="e">
        <f>IF(O$1&lt;=#REF!,_xll.GetCtData("PKAMOUNT","AMOUNT",$A$1:$A$3,$A38:$B38,O$3:O$5,"#")-SUM($M38:N38),0)</f>
        <v>#REF!</v>
      </c>
      <c r="P38" s="59" t="e">
        <f>IF(P$1&lt;=#REF!,_xll.GetCtData("PKAMOUNT","AMOUNT",$A$1:$A$3,$A38:$B38,P$3:P$5,"#")-SUM($M38:O38),0)</f>
        <v>#REF!</v>
      </c>
      <c r="Q38" s="59" t="e">
        <f>IF(Q$1&lt;=#REF!,_xll.GetCtData("PKAMOUNT","AMOUNT",$A$1:$A$3,$A38:$B38,Q$3:Q$5,"#")-SUM($M38:P38),0)</f>
        <v>#REF!</v>
      </c>
      <c r="R38" s="59" t="e">
        <f>IF(R$1&lt;=#REF!,_xll.GetCtData("PKAMOUNT","AMOUNT",$A$1:$A$3,$A38:$B38,R$3:R$5,"#")-SUM($M38:Q38),0)</f>
        <v>#REF!</v>
      </c>
      <c r="S38" s="59" t="e">
        <f>IF(S$1&lt;=#REF!,_xll.GetCtData("PKAMOUNT","AMOUNT",$A$1:$A$3,$A38:$B38,S$3:S$5,"#")-SUM($M38:R38),0)</f>
        <v>#REF!</v>
      </c>
      <c r="T38" s="59" t="e">
        <f>IF(T$1&lt;=#REF!,_xll.GetCtData("PKAMOUNT","AMOUNT",$A$1:$A$3,$A38:$B38,T$3:T$5,"#")-SUM($M38:S38),0)</f>
        <v>#REF!</v>
      </c>
      <c r="U38" s="59" t="e">
        <f>IF(U$1&lt;=#REF!,_xll.GetCtData("PKAMOUNT","AMOUNT",$A$1:$A$3,$A38:$B38,U$3:U$5,"#")-SUM($M38:T38),0)</f>
        <v>#REF!</v>
      </c>
      <c r="V38" s="59" t="e">
        <f>IF(V$1&lt;=#REF!,_xll.GetCtData("PKAMOUNT","AMOUNT",$A$1:$A$3,$A38:$B38,V$3:V$5,"#")-SUM($M38:U38),0)</f>
        <v>#REF!</v>
      </c>
      <c r="W38" s="59" t="e">
        <f>IF(W$1&lt;=#REF!,_xll.GetCtData("PKAMOUNT","AMOUNT",$A$1:$A$3,$A38:$B38,W$3:W$5,"#")-SUM($M38:V38),0)</f>
        <v>#REF!</v>
      </c>
      <c r="X38" s="59" t="e">
        <f>IF(X$1&lt;=#REF!,_xll.GetCtData("PKAMOUNT","AMOUNT",$A$1:$A$3,$A38:$B38,X$3:X$5,"#")-SUM($M38:W38),0)</f>
        <v>#REF!</v>
      </c>
      <c r="Y38" s="59">
        <f>_xll.GetCtData("PKAMOUNT","AMOUNT",$A$1:$A$3,$A38:$B38,Y$3:Y$5,"#")</f>
        <v>0</v>
      </c>
      <c r="Z38" s="16"/>
      <c r="AA38" s="59" t="e">
        <f>$K38*#REF!/12</f>
        <v>#REF!</v>
      </c>
      <c r="AB38" s="63" t="e">
        <f t="shared" si="19"/>
        <v>#REF!</v>
      </c>
      <c r="AC38" s="31"/>
      <c r="AD38" s="59" t="e">
        <f>$L38*#REF!/12</f>
        <v>#REF!</v>
      </c>
      <c r="AE38" s="63" t="e">
        <f t="shared" si="20"/>
        <v>#REF!</v>
      </c>
    </row>
    <row r="39" spans="1:33" ht="18" hidden="1" customHeight="1" outlineLevel="1" x14ac:dyDescent="0.2">
      <c r="A39" s="46" t="s">
        <v>301</v>
      </c>
      <c r="B39" s="46" t="s">
        <v>302</v>
      </c>
      <c r="C39" s="47" t="e">
        <f t="shared" si="17"/>
        <v>#REF!</v>
      </c>
      <c r="D39" s="47" t="e">
        <f t="shared" si="18"/>
        <v>#REF!</v>
      </c>
      <c r="E39" s="31"/>
      <c r="F39" s="94" t="s">
        <v>345</v>
      </c>
      <c r="G39" s="16"/>
      <c r="H39" s="59">
        <f>_xll.GetCtData("PKAMOUNT","AMOUNT",$A$1:$A$3,$A39:$B39,H$3:H$5,"#")</f>
        <v>0</v>
      </c>
      <c r="I39" s="59">
        <f>_xll.GetCtData("PKAMOUNT","AMOUNT",$A$1:$A$3,$A39:$B39,I$3:I$5,"#")</f>
        <v>0</v>
      </c>
      <c r="J39" s="59">
        <f>_xll.GetCtData("PKAMOUNT","AMOUNT",$A$1:$A$3,$A39:$B39,J$3:J$5,"#")</f>
        <v>0</v>
      </c>
      <c r="K39" s="59">
        <f>_xll.GetCtData("PKAMOUNT","AMOUNT",$A$1:$A$3,$A39:$B39,K$3:K$5,"#")</f>
        <v>0</v>
      </c>
      <c r="L39" s="59">
        <f>_xll.GetCtData("PKAMOUNT","AMOUNT",$A$1:$A$3,$A39:$B39,L$3:L$5,"#")</f>
        <v>0</v>
      </c>
      <c r="M39" s="59">
        <f>_xll.GetCtData("PKAMOUNT","AMOUNT",$A$1:$A$3,$A39:$B39,M$3:M$5,"#")</f>
        <v>0</v>
      </c>
      <c r="N39" s="59" t="e">
        <f>IF(N$1&lt;=#REF!,_xll.GetCtData("PKAMOUNT","AMOUNT",$A$1:$A$3,$A39:$B39,N$3:N$5,"#")-SUM($M39:M39),0)</f>
        <v>#REF!</v>
      </c>
      <c r="O39" s="59" t="e">
        <f>IF(O$1&lt;=#REF!,_xll.GetCtData("PKAMOUNT","AMOUNT",$A$1:$A$3,$A39:$B39,O$3:O$5,"#")-SUM($M39:N39),0)</f>
        <v>#REF!</v>
      </c>
      <c r="P39" s="59" t="e">
        <f>IF(P$1&lt;=#REF!,_xll.GetCtData("PKAMOUNT","AMOUNT",$A$1:$A$3,$A39:$B39,P$3:P$5,"#")-SUM($M39:O39),0)</f>
        <v>#REF!</v>
      </c>
      <c r="Q39" s="59" t="e">
        <f>IF(Q$1&lt;=#REF!,_xll.GetCtData("PKAMOUNT","AMOUNT",$A$1:$A$3,$A39:$B39,Q$3:Q$5,"#")-SUM($M39:P39),0)</f>
        <v>#REF!</v>
      </c>
      <c r="R39" s="59" t="e">
        <f>IF(R$1&lt;=#REF!,_xll.GetCtData("PKAMOUNT","AMOUNT",$A$1:$A$3,$A39:$B39,R$3:R$5,"#")-SUM($M39:Q39),0)</f>
        <v>#REF!</v>
      </c>
      <c r="S39" s="59" t="e">
        <f>IF(S$1&lt;=#REF!,_xll.GetCtData("PKAMOUNT","AMOUNT",$A$1:$A$3,$A39:$B39,S$3:S$5,"#")-SUM($M39:R39),0)</f>
        <v>#REF!</v>
      </c>
      <c r="T39" s="59" t="e">
        <f>IF(T$1&lt;=#REF!,_xll.GetCtData("PKAMOUNT","AMOUNT",$A$1:$A$3,$A39:$B39,T$3:T$5,"#")-SUM($M39:S39),0)</f>
        <v>#REF!</v>
      </c>
      <c r="U39" s="59" t="e">
        <f>IF(U$1&lt;=#REF!,_xll.GetCtData("PKAMOUNT","AMOUNT",$A$1:$A$3,$A39:$B39,U$3:U$5,"#")-SUM($M39:T39),0)</f>
        <v>#REF!</v>
      </c>
      <c r="V39" s="59" t="e">
        <f>IF(V$1&lt;=#REF!,_xll.GetCtData("PKAMOUNT","AMOUNT",$A$1:$A$3,$A39:$B39,V$3:V$5,"#")-SUM($M39:U39),0)</f>
        <v>#REF!</v>
      </c>
      <c r="W39" s="59" t="e">
        <f>IF(W$1&lt;=#REF!,_xll.GetCtData("PKAMOUNT","AMOUNT",$A$1:$A$3,$A39:$B39,W$3:W$5,"#")-SUM($M39:V39),0)</f>
        <v>#REF!</v>
      </c>
      <c r="X39" s="59" t="e">
        <f>IF(X$1&lt;=#REF!,_xll.GetCtData("PKAMOUNT","AMOUNT",$A$1:$A$3,$A39:$B39,X$3:X$5,"#")-SUM($M39:W39),0)</f>
        <v>#REF!</v>
      </c>
      <c r="Y39" s="59">
        <f>_xll.GetCtData("PKAMOUNT","AMOUNT",$A$1:$A$3,$A39:$B39,Y$3:Y$5,"#")</f>
        <v>0</v>
      </c>
      <c r="Z39" s="16"/>
      <c r="AA39" s="59" t="e">
        <f>$K39*#REF!/12</f>
        <v>#REF!</v>
      </c>
      <c r="AB39" s="63" t="e">
        <f t="shared" si="19"/>
        <v>#REF!</v>
      </c>
      <c r="AC39" s="31"/>
      <c r="AD39" s="59" t="e">
        <f>$L39*#REF!/12</f>
        <v>#REF!</v>
      </c>
      <c r="AE39" s="63" t="e">
        <f t="shared" si="20"/>
        <v>#REF!</v>
      </c>
    </row>
    <row r="40" spans="1:33" ht="18" customHeight="1" collapsed="1" x14ac:dyDescent="0.2">
      <c r="A40" s="32"/>
      <c r="B40" s="32"/>
      <c r="C40" s="4" t="e">
        <f t="shared" si="17"/>
        <v>#REF!</v>
      </c>
      <c r="D40" s="4" t="e">
        <f t="shared" si="18"/>
        <v>#REF!</v>
      </c>
      <c r="F40" s="51" t="s">
        <v>322</v>
      </c>
      <c r="G40" s="16"/>
      <c r="H40" s="61">
        <f t="shared" ref="H40:Y40" si="23">H38+H39</f>
        <v>0</v>
      </c>
      <c r="I40" s="61">
        <f t="shared" si="23"/>
        <v>0</v>
      </c>
      <c r="J40" s="61">
        <f t="shared" si="23"/>
        <v>0</v>
      </c>
      <c r="K40" s="86">
        <f t="shared" si="23"/>
        <v>0</v>
      </c>
      <c r="L40" s="86">
        <f t="shared" si="23"/>
        <v>0</v>
      </c>
      <c r="M40" s="61">
        <f t="shared" si="23"/>
        <v>0</v>
      </c>
      <c r="N40" s="61" t="e">
        <f t="shared" si="23"/>
        <v>#REF!</v>
      </c>
      <c r="O40" s="61" t="e">
        <f t="shared" si="23"/>
        <v>#REF!</v>
      </c>
      <c r="P40" s="61" t="e">
        <f t="shared" si="23"/>
        <v>#REF!</v>
      </c>
      <c r="Q40" s="61" t="e">
        <f t="shared" si="23"/>
        <v>#REF!</v>
      </c>
      <c r="R40" s="61" t="e">
        <f t="shared" si="23"/>
        <v>#REF!</v>
      </c>
      <c r="S40" s="61" t="e">
        <f t="shared" ref="S40:T40" si="24">S38+S39</f>
        <v>#REF!</v>
      </c>
      <c r="T40" s="61" t="e">
        <f t="shared" si="24"/>
        <v>#REF!</v>
      </c>
      <c r="U40" s="61" t="e">
        <f t="shared" si="23"/>
        <v>#REF!</v>
      </c>
      <c r="V40" s="61" t="e">
        <f t="shared" si="23"/>
        <v>#REF!</v>
      </c>
      <c r="W40" s="61" t="e">
        <f t="shared" si="23"/>
        <v>#REF!</v>
      </c>
      <c r="X40" s="61" t="e">
        <f t="shared" si="23"/>
        <v>#REF!</v>
      </c>
      <c r="Y40" s="61">
        <f t="shared" si="23"/>
        <v>0</v>
      </c>
      <c r="Z40" s="16"/>
      <c r="AA40" s="61" t="e">
        <f>$K40*#REF!/12</f>
        <v>#REF!</v>
      </c>
      <c r="AB40" s="60" t="e">
        <f t="shared" si="19"/>
        <v>#REF!</v>
      </c>
      <c r="AC40" s="34"/>
      <c r="AD40" s="61" t="e">
        <f>$L40*#REF!/12</f>
        <v>#REF!</v>
      </c>
      <c r="AE40" s="60" t="e">
        <f t="shared" si="20"/>
        <v>#REF!</v>
      </c>
      <c r="AG40" s="48"/>
    </row>
    <row r="41" spans="1:33" ht="18" hidden="1" customHeight="1" outlineLevel="1" x14ac:dyDescent="0.2">
      <c r="A41" s="46" t="s">
        <v>309</v>
      </c>
      <c r="B41" s="46" t="s">
        <v>17</v>
      </c>
      <c r="C41" s="47" t="e">
        <f t="shared" si="17"/>
        <v>#REF!</v>
      </c>
      <c r="D41" s="47" t="e">
        <f t="shared" si="18"/>
        <v>#REF!</v>
      </c>
      <c r="E41" s="31"/>
      <c r="F41" s="94" t="s">
        <v>348</v>
      </c>
      <c r="G41" s="16"/>
      <c r="H41" s="59">
        <f>_xll.GetCtData("PKAMOUNT","AMOUNT",$A$1:$A$3,$A41:$B41,H$3:H$5,"#")</f>
        <v>0</v>
      </c>
      <c r="I41" s="59">
        <f>_xll.GetCtData("PKAMOUNT","AMOUNT",$A$1:$A$3,$A41:$B41,I$3:I$5,"#")</f>
        <v>0</v>
      </c>
      <c r="J41" s="59">
        <f>_xll.GetCtData("PKAMOUNT","AMOUNT",$A$1:$A$3,$A41:$B41,J$3:J$5,"#")</f>
        <v>0</v>
      </c>
      <c r="K41" s="59">
        <f>_xll.GetCtData("PKAMOUNT","AMOUNT",$A$1:$A$3,$A41:$B41,K$3:K$5,"#")</f>
        <v>0</v>
      </c>
      <c r="L41" s="59">
        <f>_xll.GetCtData("PKAMOUNT","AMOUNT",$A$1:$A$3,$A41:$B41,L$3:L$5,"#")</f>
        <v>0</v>
      </c>
      <c r="M41" s="59">
        <f>_xll.GetCtData("PKAMOUNT","AMOUNT",$A$1:$A$3,$A41:$B41,M$3:M$5,"#")</f>
        <v>0</v>
      </c>
      <c r="N41" s="59" t="e">
        <f>IF(N$1&lt;=#REF!,_xll.GetCtData("PKAMOUNT","AMOUNT",$A$1:$A$3,$A41:$B41,N$3:N$5,"#")-SUM($M41:M41),0)</f>
        <v>#REF!</v>
      </c>
      <c r="O41" s="59" t="e">
        <f>IF(O$1&lt;=#REF!,_xll.GetCtData("PKAMOUNT","AMOUNT",$A$1:$A$3,$A41:$B41,O$3:O$5,"#")-SUM($M41:N41),0)</f>
        <v>#REF!</v>
      </c>
      <c r="P41" s="59" t="e">
        <f>IF(P$1&lt;=#REF!,_xll.GetCtData("PKAMOUNT","AMOUNT",$A$1:$A$3,$A41:$B41,P$3:P$5,"#")-SUM($M41:O41),0)</f>
        <v>#REF!</v>
      </c>
      <c r="Q41" s="59" t="e">
        <f>IF(Q$1&lt;=#REF!,_xll.GetCtData("PKAMOUNT","AMOUNT",$A$1:$A$3,$A41:$B41,Q$3:Q$5,"#")-SUM($M41:P41),0)</f>
        <v>#REF!</v>
      </c>
      <c r="R41" s="59" t="e">
        <f>IF(R$1&lt;=#REF!,_xll.GetCtData("PKAMOUNT","AMOUNT",$A$1:$A$3,$A41:$B41,R$3:R$5,"#")-SUM($M41:Q41),0)</f>
        <v>#REF!</v>
      </c>
      <c r="S41" s="59" t="e">
        <f>IF(S$1&lt;=#REF!,_xll.GetCtData("PKAMOUNT","AMOUNT",$A$1:$A$3,$A41:$B41,S$3:S$5,"#")-SUM($M41:R41),0)</f>
        <v>#REF!</v>
      </c>
      <c r="T41" s="59" t="e">
        <f>IF(T$1&lt;=#REF!,_xll.GetCtData("PKAMOUNT","AMOUNT",$A$1:$A$3,$A41:$B41,T$3:T$5,"#")-SUM($M41:S41),0)</f>
        <v>#REF!</v>
      </c>
      <c r="U41" s="59" t="e">
        <f>IF(U$1&lt;=#REF!,_xll.GetCtData("PKAMOUNT","AMOUNT",$A$1:$A$3,$A41:$B41,U$3:U$5,"#")-SUM($M41:T41),0)</f>
        <v>#REF!</v>
      </c>
      <c r="V41" s="59" t="e">
        <f>IF(V$1&lt;=#REF!,_xll.GetCtData("PKAMOUNT","AMOUNT",$A$1:$A$3,$A41:$B41,V$3:V$5,"#")-SUM($M41:U41),0)</f>
        <v>#REF!</v>
      </c>
      <c r="W41" s="59" t="e">
        <f>IF(W$1&lt;=#REF!,_xll.GetCtData("PKAMOUNT","AMOUNT",$A$1:$A$3,$A41:$B41,W$3:W$5,"#")-SUM($M41:V41),0)</f>
        <v>#REF!</v>
      </c>
      <c r="X41" s="59" t="e">
        <f>IF(X$1&lt;=#REF!,_xll.GetCtData("PKAMOUNT","AMOUNT",$A$1:$A$3,$A41:$B41,X$3:X$5,"#")-SUM($M41:W41),0)</f>
        <v>#REF!</v>
      </c>
      <c r="Y41" s="59">
        <f>_xll.GetCtData("PKAMOUNT","AMOUNT",$A$1:$A$3,$A41:$B41,Y$3:Y$5,"#")</f>
        <v>0</v>
      </c>
      <c r="Z41" s="16"/>
      <c r="AA41" s="59" t="e">
        <f>$K41*#REF!/12</f>
        <v>#REF!</v>
      </c>
      <c r="AB41" s="63" t="e">
        <f t="shared" si="19"/>
        <v>#REF!</v>
      </c>
      <c r="AC41" s="31"/>
      <c r="AD41" s="59" t="e">
        <f>$L41*#REF!/12</f>
        <v>#REF!</v>
      </c>
      <c r="AE41" s="63" t="e">
        <f t="shared" si="20"/>
        <v>#REF!</v>
      </c>
    </row>
    <row r="42" spans="1:33" ht="18" hidden="1" customHeight="1" outlineLevel="1" x14ac:dyDescent="0.2">
      <c r="A42" s="46" t="s">
        <v>301</v>
      </c>
      <c r="B42" s="46" t="s">
        <v>308</v>
      </c>
      <c r="C42" s="47" t="e">
        <f t="shared" si="17"/>
        <v>#REF!</v>
      </c>
      <c r="D42" s="47" t="e">
        <f t="shared" si="18"/>
        <v>#REF!</v>
      </c>
      <c r="E42" s="31"/>
      <c r="F42" s="94" t="s">
        <v>349</v>
      </c>
      <c r="G42" s="16"/>
      <c r="H42" s="59">
        <f>_xll.GetCtData("PKAMOUNT","AMOUNT",$A$1:$A$3,$A42:$B42,H$3:H$5,"#")</f>
        <v>0</v>
      </c>
      <c r="I42" s="59">
        <f>_xll.GetCtData("PKAMOUNT","AMOUNT",$A$1:$A$3,$A42:$B42,I$3:I$5,"#")</f>
        <v>0</v>
      </c>
      <c r="J42" s="59">
        <f>_xll.GetCtData("PKAMOUNT","AMOUNT",$A$1:$A$3,$A42:$B42,J$3:J$5,"#")</f>
        <v>0</v>
      </c>
      <c r="K42" s="59">
        <f>_xll.GetCtData("PKAMOUNT","AMOUNT",$A$1:$A$3,$A42:$B42,K$3:K$5,"#")</f>
        <v>0</v>
      </c>
      <c r="L42" s="59">
        <f>_xll.GetCtData("PKAMOUNT","AMOUNT",$A$1:$A$3,$A42:$B42,L$3:L$5,"#")</f>
        <v>0</v>
      </c>
      <c r="M42" s="59">
        <f>_xll.GetCtData("PKAMOUNT","AMOUNT",$A$1:$A$3,$A42:$B42,M$3:M$5,"#")</f>
        <v>0</v>
      </c>
      <c r="N42" s="59" t="e">
        <f>IF(N$1&lt;=#REF!,_xll.GetCtData("PKAMOUNT","AMOUNT",$A$1:$A$3,$A42:$B42,N$3:N$5,"#")-SUM($M42:M42),0)</f>
        <v>#REF!</v>
      </c>
      <c r="O42" s="59" t="e">
        <f>IF(O$1&lt;=#REF!,_xll.GetCtData("PKAMOUNT","AMOUNT",$A$1:$A$3,$A42:$B42,O$3:O$5,"#")-SUM($M42:N42),0)</f>
        <v>#REF!</v>
      </c>
      <c r="P42" s="59" t="e">
        <f>IF(P$1&lt;=#REF!,_xll.GetCtData("PKAMOUNT","AMOUNT",$A$1:$A$3,$A42:$B42,P$3:P$5,"#")-SUM($M42:O42),0)</f>
        <v>#REF!</v>
      </c>
      <c r="Q42" s="59" t="e">
        <f>IF(Q$1&lt;=#REF!,_xll.GetCtData("PKAMOUNT","AMOUNT",$A$1:$A$3,$A42:$B42,Q$3:Q$5,"#")-SUM($M42:P42),0)</f>
        <v>#REF!</v>
      </c>
      <c r="R42" s="59" t="e">
        <f>IF(R$1&lt;=#REF!,_xll.GetCtData("PKAMOUNT","AMOUNT",$A$1:$A$3,$A42:$B42,R$3:R$5,"#")-SUM($M42:Q42),0)</f>
        <v>#REF!</v>
      </c>
      <c r="S42" s="59" t="e">
        <f>IF(S$1&lt;=#REF!,_xll.GetCtData("PKAMOUNT","AMOUNT",$A$1:$A$3,$A42:$B42,S$3:S$5,"#")-SUM($M42:R42),0)</f>
        <v>#REF!</v>
      </c>
      <c r="T42" s="59" t="e">
        <f>IF(T$1&lt;=#REF!,_xll.GetCtData("PKAMOUNT","AMOUNT",$A$1:$A$3,$A42:$B42,T$3:T$5,"#")-SUM($M42:S42),0)</f>
        <v>#REF!</v>
      </c>
      <c r="U42" s="59" t="e">
        <f>IF(U$1&lt;=#REF!,_xll.GetCtData("PKAMOUNT","AMOUNT",$A$1:$A$3,$A42:$B42,U$3:U$5,"#")-SUM($M42:T42),0)</f>
        <v>#REF!</v>
      </c>
      <c r="V42" s="59" t="e">
        <f>IF(V$1&lt;=#REF!,_xll.GetCtData("PKAMOUNT","AMOUNT",$A$1:$A$3,$A42:$B42,V$3:V$5,"#")-SUM($M42:U42),0)</f>
        <v>#REF!</v>
      </c>
      <c r="W42" s="59" t="e">
        <f>IF(W$1&lt;=#REF!,_xll.GetCtData("PKAMOUNT","AMOUNT",$A$1:$A$3,$A42:$B42,W$3:W$5,"#")-SUM($M42:V42),0)</f>
        <v>#REF!</v>
      </c>
      <c r="X42" s="59" t="e">
        <f>IF(X$1&lt;=#REF!,_xll.GetCtData("PKAMOUNT","AMOUNT",$A$1:$A$3,$A42:$B42,X$3:X$5,"#")-SUM($M42:W42),0)</f>
        <v>#REF!</v>
      </c>
      <c r="Y42" s="59">
        <f>_xll.GetCtData("PKAMOUNT","AMOUNT",$A$1:$A$3,$A42:$B42,Y$3:Y$5,"#")</f>
        <v>0</v>
      </c>
      <c r="Z42" s="16"/>
      <c r="AA42" s="59" t="e">
        <f>$K42*#REF!/12</f>
        <v>#REF!</v>
      </c>
      <c r="AB42" s="63" t="e">
        <f t="shared" si="19"/>
        <v>#REF!</v>
      </c>
      <c r="AC42" s="31"/>
      <c r="AD42" s="59" t="e">
        <f>$L42*#REF!/12</f>
        <v>#REF!</v>
      </c>
      <c r="AE42" s="63" t="e">
        <f t="shared" si="20"/>
        <v>#REF!</v>
      </c>
    </row>
    <row r="43" spans="1:33" ht="18" customHeight="1" collapsed="1" x14ac:dyDescent="0.2">
      <c r="A43" s="32"/>
      <c r="B43" s="32"/>
      <c r="C43" s="4" t="e">
        <f t="shared" si="17"/>
        <v>#REF!</v>
      </c>
      <c r="D43" s="4" t="e">
        <f t="shared" si="18"/>
        <v>#REF!</v>
      </c>
      <c r="F43" s="51" t="s">
        <v>324</v>
      </c>
      <c r="G43" s="16"/>
      <c r="H43" s="61">
        <f>H41+H42</f>
        <v>0</v>
      </c>
      <c r="I43" s="61">
        <f t="shared" ref="I43:L43" si="25">I41+I42</f>
        <v>0</v>
      </c>
      <c r="J43" s="61">
        <f t="shared" si="25"/>
        <v>0</v>
      </c>
      <c r="K43" s="86">
        <f t="shared" si="25"/>
        <v>0</v>
      </c>
      <c r="L43" s="86">
        <f t="shared" si="25"/>
        <v>0</v>
      </c>
      <c r="M43" s="61">
        <f>M41+M42</f>
        <v>0</v>
      </c>
      <c r="N43" s="61" t="e">
        <f t="shared" ref="N43" si="26">N41+N42</f>
        <v>#REF!</v>
      </c>
      <c r="O43" s="61" t="e">
        <f>O41+O42</f>
        <v>#REF!</v>
      </c>
      <c r="P43" s="61" t="e">
        <f>P41+P42</f>
        <v>#REF!</v>
      </c>
      <c r="Q43" s="61" t="e">
        <f t="shared" ref="Q43:Y43" si="27">Q41+Q42</f>
        <v>#REF!</v>
      </c>
      <c r="R43" s="61" t="e">
        <f t="shared" si="27"/>
        <v>#REF!</v>
      </c>
      <c r="S43" s="61" t="e">
        <f t="shared" ref="S43:T43" si="28">S41+S42</f>
        <v>#REF!</v>
      </c>
      <c r="T43" s="61" t="e">
        <f t="shared" si="28"/>
        <v>#REF!</v>
      </c>
      <c r="U43" s="61" t="e">
        <f t="shared" si="27"/>
        <v>#REF!</v>
      </c>
      <c r="V43" s="61" t="e">
        <f t="shared" si="27"/>
        <v>#REF!</v>
      </c>
      <c r="W43" s="61" t="e">
        <f t="shared" si="27"/>
        <v>#REF!</v>
      </c>
      <c r="X43" s="61" t="e">
        <f t="shared" si="27"/>
        <v>#REF!</v>
      </c>
      <c r="Y43" s="61">
        <f t="shared" si="27"/>
        <v>0</v>
      </c>
      <c r="Z43" s="16"/>
      <c r="AA43" s="61" t="e">
        <f>$K43*#REF!/12</f>
        <v>#REF!</v>
      </c>
      <c r="AB43" s="60" t="e">
        <f t="shared" si="19"/>
        <v>#REF!</v>
      </c>
      <c r="AC43" s="34"/>
      <c r="AD43" s="61" t="e">
        <f>$L43*#REF!/12</f>
        <v>#REF!</v>
      </c>
      <c r="AE43" s="60" t="e">
        <f t="shared" si="20"/>
        <v>#REF!</v>
      </c>
      <c r="AG43" s="48"/>
    </row>
    <row r="44" spans="1:33" ht="18" hidden="1" customHeight="1" outlineLevel="1" x14ac:dyDescent="0.2">
      <c r="A44" s="46" t="s">
        <v>306</v>
      </c>
      <c r="B44" s="46" t="s">
        <v>17</v>
      </c>
      <c r="C44" s="47" t="e">
        <f t="shared" si="17"/>
        <v>#REF!</v>
      </c>
      <c r="D44" s="47" t="e">
        <f t="shared" si="18"/>
        <v>#REF!</v>
      </c>
      <c r="E44" s="31"/>
      <c r="F44" s="94" t="s">
        <v>350</v>
      </c>
      <c r="G44" s="16"/>
      <c r="H44" s="59">
        <f>_xll.GetCtData("PKAMOUNT","AMOUNT",$A$1:$A$3,$A44:$B44,H$3:H$5,"#")</f>
        <v>0</v>
      </c>
      <c r="I44" s="59">
        <f>_xll.GetCtData("PKAMOUNT","AMOUNT",$A$1:$A$3,$A44:$B44,I$3:I$5,"#")</f>
        <v>0</v>
      </c>
      <c r="J44" s="59">
        <f>_xll.GetCtData("PKAMOUNT","AMOUNT",$A$1:$A$3,$A44:$B44,J$3:J$5,"#")</f>
        <v>0</v>
      </c>
      <c r="K44" s="59">
        <f>_xll.GetCtData("PKAMOUNT","AMOUNT",$A$1:$A$3,$A44:$B44,K$3:K$5,"#")</f>
        <v>0</v>
      </c>
      <c r="L44" s="59">
        <f>_xll.GetCtData("PKAMOUNT","AMOUNT",$A$1:$A$3,$A44:$B44,L$3:L$5,"#")</f>
        <v>0</v>
      </c>
      <c r="M44" s="59">
        <f>_xll.GetCtData("PKAMOUNT","AMOUNT",$A$1:$A$3,$A44:$B44,M$3:M$5,"#")</f>
        <v>0</v>
      </c>
      <c r="N44" s="59" t="e">
        <f>IF(N$1&lt;=#REF!,_xll.GetCtData("PKAMOUNT","AMOUNT",$A$1:$A$3,$A44:$B44,N$3:N$5,"#")-SUM($M44:M44),0)</f>
        <v>#REF!</v>
      </c>
      <c r="O44" s="59" t="e">
        <f>IF(O$1&lt;=#REF!,_xll.GetCtData("PKAMOUNT","AMOUNT",$A$1:$A$3,$A44:$B44,O$3:O$5,"#")-SUM($M44:N44),0)</f>
        <v>#REF!</v>
      </c>
      <c r="P44" s="59" t="e">
        <f>IF(P$1&lt;=#REF!,_xll.GetCtData("PKAMOUNT","AMOUNT",$A$1:$A$3,$A44:$B44,P$3:P$5,"#")-SUM($M44:O44),0)</f>
        <v>#REF!</v>
      </c>
      <c r="Q44" s="59" t="e">
        <f>IF(Q$1&lt;=#REF!,_xll.GetCtData("PKAMOUNT","AMOUNT",$A$1:$A$3,$A44:$B44,Q$3:Q$5,"#")-SUM($M44:P44),0)</f>
        <v>#REF!</v>
      </c>
      <c r="R44" s="59" t="e">
        <f>IF(R$1&lt;=#REF!,_xll.GetCtData("PKAMOUNT","AMOUNT",$A$1:$A$3,$A44:$B44,R$3:R$5,"#")-SUM($M44:Q44),0)</f>
        <v>#REF!</v>
      </c>
      <c r="S44" s="59" t="e">
        <f>IF(S$1&lt;=#REF!,_xll.GetCtData("PKAMOUNT","AMOUNT",$A$1:$A$3,$A44:$B44,S$3:S$5,"#")-SUM($M44:R44),0)</f>
        <v>#REF!</v>
      </c>
      <c r="T44" s="59" t="e">
        <f>IF(T$1&lt;=#REF!,_xll.GetCtData("PKAMOUNT","AMOUNT",$A$1:$A$3,$A44:$B44,T$3:T$5,"#")-SUM($M44:S44),0)</f>
        <v>#REF!</v>
      </c>
      <c r="U44" s="59" t="e">
        <f>IF(U$1&lt;=#REF!,_xll.GetCtData("PKAMOUNT","AMOUNT",$A$1:$A$3,$A44:$B44,U$3:U$5,"#")-SUM($M44:T44),0)</f>
        <v>#REF!</v>
      </c>
      <c r="V44" s="59" t="e">
        <f>IF(V$1&lt;=#REF!,_xll.GetCtData("PKAMOUNT","AMOUNT",$A$1:$A$3,$A44:$B44,V$3:V$5,"#")-SUM($M44:U44),0)</f>
        <v>#REF!</v>
      </c>
      <c r="W44" s="59" t="e">
        <f>IF(W$1&lt;=#REF!,_xll.GetCtData("PKAMOUNT","AMOUNT",$A$1:$A$3,$A44:$B44,W$3:W$5,"#")-SUM($M44:V44),0)</f>
        <v>#REF!</v>
      </c>
      <c r="X44" s="59" t="e">
        <f>IF(X$1&lt;=#REF!,_xll.GetCtData("PKAMOUNT","AMOUNT",$A$1:$A$3,$A44:$B44,X$3:X$5,"#")-SUM($M44:W44),0)</f>
        <v>#REF!</v>
      </c>
      <c r="Y44" s="59">
        <f>_xll.GetCtData("PKAMOUNT","AMOUNT",$A$1:$A$3,$A44:$B44,Y$3:Y$5,"#")</f>
        <v>0</v>
      </c>
      <c r="Z44" s="16"/>
      <c r="AA44" s="59" t="e">
        <f>$K44*#REF!/12</f>
        <v>#REF!</v>
      </c>
      <c r="AB44" s="63" t="e">
        <f t="shared" si="19"/>
        <v>#REF!</v>
      </c>
      <c r="AC44" s="31"/>
      <c r="AD44" s="59" t="e">
        <f>$L44*#REF!/12</f>
        <v>#REF!</v>
      </c>
      <c r="AE44" s="63" t="e">
        <f t="shared" si="20"/>
        <v>#REF!</v>
      </c>
    </row>
    <row r="45" spans="1:33" ht="18" hidden="1" customHeight="1" outlineLevel="1" x14ac:dyDescent="0.2">
      <c r="A45" s="46" t="s">
        <v>301</v>
      </c>
      <c r="B45" s="46" t="s">
        <v>307</v>
      </c>
      <c r="C45" s="47" t="e">
        <f t="shared" si="17"/>
        <v>#REF!</v>
      </c>
      <c r="D45" s="47" t="e">
        <f t="shared" si="18"/>
        <v>#REF!</v>
      </c>
      <c r="E45" s="31"/>
      <c r="F45" s="94" t="s">
        <v>351</v>
      </c>
      <c r="G45" s="16"/>
      <c r="H45" s="59">
        <f>_xll.GetCtData("PKAMOUNT","AMOUNT",$A$1:$A$3,$A45:$B45,H$3:H$5,"#")</f>
        <v>0</v>
      </c>
      <c r="I45" s="59">
        <f>_xll.GetCtData("PKAMOUNT","AMOUNT",$A$1:$A$3,$A45:$B45,I$3:I$5,"#")</f>
        <v>0</v>
      </c>
      <c r="J45" s="59">
        <f>_xll.GetCtData("PKAMOUNT","AMOUNT",$A$1:$A$3,$A45:$B45,J$3:J$5,"#")</f>
        <v>0</v>
      </c>
      <c r="K45" s="59">
        <f>_xll.GetCtData("PKAMOUNT","AMOUNT",$A$1:$A$3,$A45:$B45,K$3:K$5,"#")</f>
        <v>0</v>
      </c>
      <c r="L45" s="59">
        <f>_xll.GetCtData("PKAMOUNT","AMOUNT",$A$1:$A$3,$A45:$B45,L$3:L$5,"#")</f>
        <v>0</v>
      </c>
      <c r="M45" s="59">
        <f>_xll.GetCtData("PKAMOUNT","AMOUNT",$A$1:$A$3,$A45:$B45,M$3:M$5,"#")</f>
        <v>0</v>
      </c>
      <c r="N45" s="59" t="e">
        <f>IF(N$1&lt;=#REF!,_xll.GetCtData("PKAMOUNT","AMOUNT",$A$1:$A$3,$A45:$B45,N$3:N$5,"#")-SUM($M45:M45),0)</f>
        <v>#REF!</v>
      </c>
      <c r="O45" s="59" t="e">
        <f>IF(O$1&lt;=#REF!,_xll.GetCtData("PKAMOUNT","AMOUNT",$A$1:$A$3,$A45:$B45,O$3:O$5,"#")-SUM($M45:N45),0)</f>
        <v>#REF!</v>
      </c>
      <c r="P45" s="59" t="e">
        <f>IF(P$1&lt;=#REF!,_xll.GetCtData("PKAMOUNT","AMOUNT",$A$1:$A$3,$A45:$B45,P$3:P$5,"#")-SUM($M45:O45),0)</f>
        <v>#REF!</v>
      </c>
      <c r="Q45" s="59" t="e">
        <f>IF(Q$1&lt;=#REF!,_xll.GetCtData("PKAMOUNT","AMOUNT",$A$1:$A$3,$A45:$B45,Q$3:Q$5,"#")-SUM($M45:P45),0)</f>
        <v>#REF!</v>
      </c>
      <c r="R45" s="59" t="e">
        <f>IF(R$1&lt;=#REF!,_xll.GetCtData("PKAMOUNT","AMOUNT",$A$1:$A$3,$A45:$B45,R$3:R$5,"#")-SUM($M45:Q45),0)</f>
        <v>#REF!</v>
      </c>
      <c r="S45" s="59" t="e">
        <f>IF(S$1&lt;=#REF!,_xll.GetCtData("PKAMOUNT","AMOUNT",$A$1:$A$3,$A45:$B45,S$3:S$5,"#")-SUM($M45:R45),0)</f>
        <v>#REF!</v>
      </c>
      <c r="T45" s="59" t="e">
        <f>IF(T$1&lt;=#REF!,_xll.GetCtData("PKAMOUNT","AMOUNT",$A$1:$A$3,$A45:$B45,T$3:T$5,"#")-SUM($M45:S45),0)</f>
        <v>#REF!</v>
      </c>
      <c r="U45" s="59" t="e">
        <f>IF(U$1&lt;=#REF!,_xll.GetCtData("PKAMOUNT","AMOUNT",$A$1:$A$3,$A45:$B45,U$3:U$5,"#")-SUM($M45:T45),0)</f>
        <v>#REF!</v>
      </c>
      <c r="V45" s="59" t="e">
        <f>IF(V$1&lt;=#REF!,_xll.GetCtData("PKAMOUNT","AMOUNT",$A$1:$A$3,$A45:$B45,V$3:V$5,"#")-SUM($M45:U45),0)</f>
        <v>#REF!</v>
      </c>
      <c r="W45" s="59" t="e">
        <f>IF(W$1&lt;=#REF!,_xll.GetCtData("PKAMOUNT","AMOUNT",$A$1:$A$3,$A45:$B45,W$3:W$5,"#")-SUM($M45:V45),0)</f>
        <v>#REF!</v>
      </c>
      <c r="X45" s="59" t="e">
        <f>IF(X$1&lt;=#REF!,_xll.GetCtData("PKAMOUNT","AMOUNT",$A$1:$A$3,$A45:$B45,X$3:X$5,"#")-SUM($M45:W45),0)</f>
        <v>#REF!</v>
      </c>
      <c r="Y45" s="59">
        <f>_xll.GetCtData("PKAMOUNT","AMOUNT",$A$1:$A$3,$A45:$B45,Y$3:Y$5,"#")</f>
        <v>0</v>
      </c>
      <c r="Z45" s="16"/>
      <c r="AA45" s="59" t="e">
        <f>$K45*#REF!/12</f>
        <v>#REF!</v>
      </c>
      <c r="AB45" s="63" t="e">
        <f t="shared" si="19"/>
        <v>#REF!</v>
      </c>
      <c r="AC45" s="31"/>
      <c r="AD45" s="59" t="e">
        <f>$L45*#REF!/12</f>
        <v>#REF!</v>
      </c>
      <c r="AE45" s="63" t="e">
        <f t="shared" si="20"/>
        <v>#REF!</v>
      </c>
    </row>
    <row r="46" spans="1:33" ht="18" customHeight="1" collapsed="1" x14ac:dyDescent="0.2">
      <c r="A46" s="32"/>
      <c r="B46" s="32"/>
      <c r="C46" s="4" t="e">
        <f t="shared" si="17"/>
        <v>#REF!</v>
      </c>
      <c r="D46" s="4" t="e">
        <f t="shared" si="18"/>
        <v>#REF!</v>
      </c>
      <c r="F46" s="51" t="s">
        <v>325</v>
      </c>
      <c r="G46" s="16"/>
      <c r="H46" s="61">
        <f>H44+H45</f>
        <v>0</v>
      </c>
      <c r="I46" s="61">
        <f t="shared" ref="I46:L46" si="29">I44+I45</f>
        <v>0</v>
      </c>
      <c r="J46" s="61">
        <f t="shared" si="29"/>
        <v>0</v>
      </c>
      <c r="K46" s="86">
        <f t="shared" si="29"/>
        <v>0</v>
      </c>
      <c r="L46" s="86">
        <f t="shared" si="29"/>
        <v>0</v>
      </c>
      <c r="M46" s="61">
        <f>M44+M45</f>
        <v>0</v>
      </c>
      <c r="N46" s="61" t="e">
        <f t="shared" ref="N46" si="30">N44+N45</f>
        <v>#REF!</v>
      </c>
      <c r="O46" s="61" t="e">
        <f>O44+O45</f>
        <v>#REF!</v>
      </c>
      <c r="P46" s="61" t="e">
        <f>P44+P45</f>
        <v>#REF!</v>
      </c>
      <c r="Q46" s="61" t="e">
        <f t="shared" ref="Q46:Y46" si="31">Q44+Q45</f>
        <v>#REF!</v>
      </c>
      <c r="R46" s="61" t="e">
        <f t="shared" si="31"/>
        <v>#REF!</v>
      </c>
      <c r="S46" s="61" t="e">
        <f t="shared" ref="S46:T46" si="32">S44+S45</f>
        <v>#REF!</v>
      </c>
      <c r="T46" s="61" t="e">
        <f t="shared" si="32"/>
        <v>#REF!</v>
      </c>
      <c r="U46" s="61" t="e">
        <f t="shared" si="31"/>
        <v>#REF!</v>
      </c>
      <c r="V46" s="61" t="e">
        <f t="shared" si="31"/>
        <v>#REF!</v>
      </c>
      <c r="W46" s="61" t="e">
        <f t="shared" si="31"/>
        <v>#REF!</v>
      </c>
      <c r="X46" s="61" t="e">
        <f t="shared" si="31"/>
        <v>#REF!</v>
      </c>
      <c r="Y46" s="61">
        <f t="shared" si="31"/>
        <v>0</v>
      </c>
      <c r="Z46" s="16"/>
      <c r="AA46" s="61" t="e">
        <f>$K46*#REF!/12</f>
        <v>#REF!</v>
      </c>
      <c r="AB46" s="60" t="e">
        <f t="shared" si="19"/>
        <v>#REF!</v>
      </c>
      <c r="AC46" s="34"/>
      <c r="AD46" s="61" t="e">
        <f>$L46*#REF!/12</f>
        <v>#REF!</v>
      </c>
      <c r="AE46" s="60" t="e">
        <f t="shared" si="20"/>
        <v>#REF!</v>
      </c>
      <c r="AG46" s="48"/>
    </row>
    <row r="47" spans="1:33" ht="18" hidden="1" customHeight="1" outlineLevel="1" x14ac:dyDescent="0.2">
      <c r="A47" s="46" t="s">
        <v>305</v>
      </c>
      <c r="B47" s="46" t="s">
        <v>17</v>
      </c>
      <c r="C47" s="47" t="e">
        <f t="shared" si="17"/>
        <v>#REF!</v>
      </c>
      <c r="D47" s="47" t="e">
        <f t="shared" si="18"/>
        <v>#REF!</v>
      </c>
      <c r="E47" s="31"/>
      <c r="F47" s="94" t="s">
        <v>353</v>
      </c>
      <c r="G47" s="16"/>
      <c r="H47" s="59">
        <f>_xll.GetCtData("PKAMOUNT","AMOUNT",$A$1:$A$3,$A47:$B47,H$3:H$5,"#")</f>
        <v>0</v>
      </c>
      <c r="I47" s="59">
        <f>_xll.GetCtData("PKAMOUNT","AMOUNT",$A$1:$A$3,$A47:$B47,I$3:I$5,"#")</f>
        <v>0</v>
      </c>
      <c r="J47" s="59">
        <f>_xll.GetCtData("PKAMOUNT","AMOUNT",$A$1:$A$3,$A47:$B47,J$3:J$5,"#")</f>
        <v>0</v>
      </c>
      <c r="K47" s="59">
        <f>_xll.GetCtData("PKAMOUNT","AMOUNT",$A$1:$A$3,$A47:$B47,K$3:K$5,"#")</f>
        <v>0</v>
      </c>
      <c r="L47" s="59">
        <f>_xll.GetCtData("PKAMOUNT","AMOUNT",$A$1:$A$3,$A47:$B47,L$3:L$5,"#")</f>
        <v>0</v>
      </c>
      <c r="M47" s="59">
        <f>_xll.GetCtData("PKAMOUNT","AMOUNT",$A$1:$A$3,$A47:$B47,M$3:M$5,"#")</f>
        <v>0</v>
      </c>
      <c r="N47" s="59" t="e">
        <f>IF(N$1&lt;=#REF!,_xll.GetCtData("PKAMOUNT","AMOUNT",$A$1:$A$3,$A47:$B47,N$3:N$5,"#")-SUM($M47:M47),0)</f>
        <v>#REF!</v>
      </c>
      <c r="O47" s="59" t="e">
        <f>IF(O$1&lt;=#REF!,_xll.GetCtData("PKAMOUNT","AMOUNT",$A$1:$A$3,$A47:$B47,O$3:O$5,"#")-SUM($M47:N47),0)</f>
        <v>#REF!</v>
      </c>
      <c r="P47" s="59" t="e">
        <f>IF(P$1&lt;=#REF!,_xll.GetCtData("PKAMOUNT","AMOUNT",$A$1:$A$3,$A47:$B47,P$3:P$5,"#")-SUM($M47:O47),0)</f>
        <v>#REF!</v>
      </c>
      <c r="Q47" s="59" t="e">
        <f>IF(Q$1&lt;=#REF!,_xll.GetCtData("PKAMOUNT","AMOUNT",$A$1:$A$3,$A47:$B47,Q$3:Q$5,"#")-SUM($M47:P47),0)</f>
        <v>#REF!</v>
      </c>
      <c r="R47" s="59" t="e">
        <f>IF(R$1&lt;=#REF!,_xll.GetCtData("PKAMOUNT","AMOUNT",$A$1:$A$3,$A47:$B47,R$3:R$5,"#")-SUM($M47:Q47),0)</f>
        <v>#REF!</v>
      </c>
      <c r="S47" s="59" t="e">
        <f>IF(S$1&lt;=#REF!,_xll.GetCtData("PKAMOUNT","AMOUNT",$A$1:$A$3,$A47:$B47,S$3:S$5,"#")-SUM($M47:R47),0)</f>
        <v>#REF!</v>
      </c>
      <c r="T47" s="59" t="e">
        <f>IF(T$1&lt;=#REF!,_xll.GetCtData("PKAMOUNT","AMOUNT",$A$1:$A$3,$A47:$B47,T$3:T$5,"#")-SUM($M47:S47),0)</f>
        <v>#REF!</v>
      </c>
      <c r="U47" s="59" t="e">
        <f>IF(U$1&lt;=#REF!,_xll.GetCtData("PKAMOUNT","AMOUNT",$A$1:$A$3,$A47:$B47,U$3:U$5,"#")-SUM($M47:T47),0)</f>
        <v>#REF!</v>
      </c>
      <c r="V47" s="59" t="e">
        <f>IF(V$1&lt;=#REF!,_xll.GetCtData("PKAMOUNT","AMOUNT",$A$1:$A$3,$A47:$B47,V$3:V$5,"#")-SUM($M47:U47),0)</f>
        <v>#REF!</v>
      </c>
      <c r="W47" s="59" t="e">
        <f>IF(W$1&lt;=#REF!,_xll.GetCtData("PKAMOUNT","AMOUNT",$A$1:$A$3,$A47:$B47,W$3:W$5,"#")-SUM($M47:V47),0)</f>
        <v>#REF!</v>
      </c>
      <c r="X47" s="59" t="e">
        <f>IF(X$1&lt;=#REF!,_xll.GetCtData("PKAMOUNT","AMOUNT",$A$1:$A$3,$A47:$B47,X$3:X$5,"#")-SUM($M47:W47),0)</f>
        <v>#REF!</v>
      </c>
      <c r="Y47" s="59">
        <f>_xll.GetCtData("PKAMOUNT","AMOUNT",$A$1:$A$3,$A47:$B47,Y$3:Y$5,"#")</f>
        <v>0</v>
      </c>
      <c r="Z47" s="16"/>
      <c r="AA47" s="59" t="e">
        <f>$K47*#REF!/12</f>
        <v>#REF!</v>
      </c>
      <c r="AB47" s="63" t="e">
        <f t="shared" si="19"/>
        <v>#REF!</v>
      </c>
      <c r="AC47" s="31"/>
      <c r="AD47" s="59" t="e">
        <f>$L47*#REF!/12</f>
        <v>#REF!</v>
      </c>
      <c r="AE47" s="63" t="e">
        <f t="shared" si="20"/>
        <v>#REF!</v>
      </c>
    </row>
    <row r="48" spans="1:33" ht="18" hidden="1" customHeight="1" outlineLevel="1" x14ac:dyDescent="0.2">
      <c r="A48" s="46" t="s">
        <v>301</v>
      </c>
      <c r="B48" s="46" t="s">
        <v>352</v>
      </c>
      <c r="C48" s="47" t="e">
        <f t="shared" si="17"/>
        <v>#REF!</v>
      </c>
      <c r="D48" s="47" t="e">
        <f t="shared" si="18"/>
        <v>#REF!</v>
      </c>
      <c r="E48" s="31"/>
      <c r="F48" s="94" t="s">
        <v>354</v>
      </c>
      <c r="G48" s="16"/>
      <c r="H48" s="59">
        <f>_xll.GetCtData("PKAMOUNT","AMOUNT",$A$1:$A$3,$A48:$B48,H$3:H$5,"#")</f>
        <v>0</v>
      </c>
      <c r="I48" s="59">
        <f>_xll.GetCtData("PKAMOUNT","AMOUNT",$A$1:$A$3,$A48:$B48,I$3:I$5,"#")</f>
        <v>0</v>
      </c>
      <c r="J48" s="59">
        <f>_xll.GetCtData("PKAMOUNT","AMOUNT",$A$1:$A$3,$A48:$B48,J$3:J$5,"#")</f>
        <v>0</v>
      </c>
      <c r="K48" s="59">
        <f>_xll.GetCtData("PKAMOUNT","AMOUNT",$A$1:$A$3,$A48:$B48,K$3:K$5,"#")</f>
        <v>0</v>
      </c>
      <c r="L48" s="59">
        <f>_xll.GetCtData("PKAMOUNT","AMOUNT",$A$1:$A$3,$A48:$B48,L$3:L$5,"#")</f>
        <v>0</v>
      </c>
      <c r="M48" s="59">
        <f>_xll.GetCtData("PKAMOUNT","AMOUNT",$A$1:$A$3,$A48:$B48,M$3:M$5,"#")</f>
        <v>0</v>
      </c>
      <c r="N48" s="59" t="e">
        <f>IF(N$1&lt;=#REF!,_xll.GetCtData("PKAMOUNT","AMOUNT",$A$1:$A$3,$A48:$B48,N$3:N$5,"#")-SUM($M48:M48),0)</f>
        <v>#REF!</v>
      </c>
      <c r="O48" s="59" t="e">
        <f>IF(O$1&lt;=#REF!,_xll.GetCtData("PKAMOUNT","AMOUNT",$A$1:$A$3,$A48:$B48,O$3:O$5,"#")-SUM($M48:N48),0)</f>
        <v>#REF!</v>
      </c>
      <c r="P48" s="59" t="e">
        <f>IF(P$1&lt;=#REF!,_xll.GetCtData("PKAMOUNT","AMOUNT",$A$1:$A$3,$A48:$B48,P$3:P$5,"#")-SUM($M48:O48),0)</f>
        <v>#REF!</v>
      </c>
      <c r="Q48" s="59" t="e">
        <f>IF(Q$1&lt;=#REF!,_xll.GetCtData("PKAMOUNT","AMOUNT",$A$1:$A$3,$A48:$B48,Q$3:Q$5,"#")-SUM($M48:P48),0)</f>
        <v>#REF!</v>
      </c>
      <c r="R48" s="59" t="e">
        <f>IF(R$1&lt;=#REF!,_xll.GetCtData("PKAMOUNT","AMOUNT",$A$1:$A$3,$A48:$B48,R$3:R$5,"#")-SUM($M48:Q48),0)</f>
        <v>#REF!</v>
      </c>
      <c r="S48" s="59" t="e">
        <f>IF(S$1&lt;=#REF!,_xll.GetCtData("PKAMOUNT","AMOUNT",$A$1:$A$3,$A48:$B48,S$3:S$5,"#")-SUM($M48:R48),0)</f>
        <v>#REF!</v>
      </c>
      <c r="T48" s="59" t="e">
        <f>IF(T$1&lt;=#REF!,_xll.GetCtData("PKAMOUNT","AMOUNT",$A$1:$A$3,$A48:$B48,T$3:T$5,"#")-SUM($M48:S48),0)</f>
        <v>#REF!</v>
      </c>
      <c r="U48" s="59" t="e">
        <f>IF(U$1&lt;=#REF!,_xll.GetCtData("PKAMOUNT","AMOUNT",$A$1:$A$3,$A48:$B48,U$3:U$5,"#")-SUM($M48:T48),0)</f>
        <v>#REF!</v>
      </c>
      <c r="V48" s="59" t="e">
        <f>IF(V$1&lt;=#REF!,_xll.GetCtData("PKAMOUNT","AMOUNT",$A$1:$A$3,$A48:$B48,V$3:V$5,"#")-SUM($M48:U48),0)</f>
        <v>#REF!</v>
      </c>
      <c r="W48" s="59" t="e">
        <f>IF(W$1&lt;=#REF!,_xll.GetCtData("PKAMOUNT","AMOUNT",$A$1:$A$3,$A48:$B48,W$3:W$5,"#")-SUM($M48:V48),0)</f>
        <v>#REF!</v>
      </c>
      <c r="X48" s="59" t="e">
        <f>IF(X$1&lt;=#REF!,_xll.GetCtData("PKAMOUNT","AMOUNT",$A$1:$A$3,$A48:$B48,X$3:X$5,"#")-SUM($M48:W48),0)</f>
        <v>#REF!</v>
      </c>
      <c r="Y48" s="59">
        <f>_xll.GetCtData("PKAMOUNT","AMOUNT",$A$1:$A$3,$A48:$B48,Y$3:Y$5,"#")</f>
        <v>0</v>
      </c>
      <c r="Z48" s="16"/>
      <c r="AA48" s="59" t="e">
        <f>$K48*#REF!/12</f>
        <v>#REF!</v>
      </c>
      <c r="AB48" s="63" t="e">
        <f t="shared" si="19"/>
        <v>#REF!</v>
      </c>
      <c r="AC48" s="31"/>
      <c r="AD48" s="59" t="e">
        <f>$L48*#REF!/12</f>
        <v>#REF!</v>
      </c>
      <c r="AE48" s="63" t="e">
        <f t="shared" si="20"/>
        <v>#REF!</v>
      </c>
    </row>
    <row r="49" spans="1:33" ht="18" hidden="1" customHeight="1" outlineLevel="1" x14ac:dyDescent="0.2">
      <c r="A49" s="46" t="s">
        <v>310</v>
      </c>
      <c r="B49" s="46" t="s">
        <v>334</v>
      </c>
      <c r="C49" s="47" t="e">
        <f t="shared" si="17"/>
        <v>#REF!</v>
      </c>
      <c r="D49" s="47" t="e">
        <f t="shared" si="18"/>
        <v>#REF!</v>
      </c>
      <c r="E49" s="31"/>
      <c r="F49" s="94" t="s">
        <v>355</v>
      </c>
      <c r="G49" s="16"/>
      <c r="H49" s="59">
        <f>_xll.GetCtData("PKAMOUNT","AMOUNT",$A$1:$A$3,$A49:$B49,H$3:H$5,"#")</f>
        <v>0</v>
      </c>
      <c r="I49" s="59">
        <f>_xll.GetCtData("PKAMOUNT","AMOUNT",$A$1:$A$3,$A49:$B49,I$3:I$5,"#")</f>
        <v>0</v>
      </c>
      <c r="J49" s="59">
        <f>_xll.GetCtData("PKAMOUNT","AMOUNT",$A$1:$A$3,$A49:$B49,J$3:J$5,"#")</f>
        <v>0</v>
      </c>
      <c r="K49" s="59">
        <f>_xll.GetCtData("PKAMOUNT","AMOUNT",$A$1:$A$3,$A49:$B49,K$3:K$5,"#")</f>
        <v>0</v>
      </c>
      <c r="L49" s="59">
        <f>_xll.GetCtData("PKAMOUNT","AMOUNT",$A$1:$A$3,$A49:$B49,L$3:L$5,"#")</f>
        <v>0</v>
      </c>
      <c r="M49" s="59">
        <f>_xll.GetCtData("PKAMOUNT","AMOUNT",$A$1:$A$3,$A49:$B49,M$3:M$5,"#")</f>
        <v>0</v>
      </c>
      <c r="N49" s="59" t="e">
        <f>IF(N$1&lt;=#REF!,_xll.GetCtData("PKAMOUNT","AMOUNT",$A$1:$A$3,$A49:$B49,N$3:N$5,"#")-SUM($M49:M49),0)</f>
        <v>#REF!</v>
      </c>
      <c r="O49" s="59" t="e">
        <f>IF(O$1&lt;=#REF!,_xll.GetCtData("PKAMOUNT","AMOUNT",$A$1:$A$3,$A49:$B49,O$3:O$5,"#")-SUM($M49:N49),0)</f>
        <v>#REF!</v>
      </c>
      <c r="P49" s="59" t="e">
        <f>IF(P$1&lt;=#REF!,_xll.GetCtData("PKAMOUNT","AMOUNT",$A$1:$A$3,$A49:$B49,P$3:P$5,"#")-SUM($M49:O49),0)</f>
        <v>#REF!</v>
      </c>
      <c r="Q49" s="59" t="e">
        <f>IF(Q$1&lt;=#REF!,_xll.GetCtData("PKAMOUNT","AMOUNT",$A$1:$A$3,$A49:$B49,Q$3:Q$5,"#")-SUM($M49:P49),0)</f>
        <v>#REF!</v>
      </c>
      <c r="R49" s="59" t="e">
        <f>IF(R$1&lt;=#REF!,_xll.GetCtData("PKAMOUNT","AMOUNT",$A$1:$A$3,$A49:$B49,R$3:R$5,"#")-SUM($M49:Q49),0)</f>
        <v>#REF!</v>
      </c>
      <c r="S49" s="59" t="e">
        <f>IF(S$1&lt;=#REF!,_xll.GetCtData("PKAMOUNT","AMOUNT",$A$1:$A$3,$A49:$B49,S$3:S$5,"#")-SUM($M49:R49),0)</f>
        <v>#REF!</v>
      </c>
      <c r="T49" s="59" t="e">
        <f>IF(T$1&lt;=#REF!,_xll.GetCtData("PKAMOUNT","AMOUNT",$A$1:$A$3,$A49:$B49,T$3:T$5,"#")-SUM($M49:S49),0)</f>
        <v>#REF!</v>
      </c>
      <c r="U49" s="59" t="e">
        <f>IF(U$1&lt;=#REF!,_xll.GetCtData("PKAMOUNT","AMOUNT",$A$1:$A$3,$A49:$B49,U$3:U$5,"#")-SUM($M49:T49),0)</f>
        <v>#REF!</v>
      </c>
      <c r="V49" s="59" t="e">
        <f>IF(V$1&lt;=#REF!,_xll.GetCtData("PKAMOUNT","AMOUNT",$A$1:$A$3,$A49:$B49,V$3:V$5,"#")-SUM($M49:U49),0)</f>
        <v>#REF!</v>
      </c>
      <c r="W49" s="59" t="e">
        <f>IF(W$1&lt;=#REF!,_xll.GetCtData("PKAMOUNT","AMOUNT",$A$1:$A$3,$A49:$B49,W$3:W$5,"#")-SUM($M49:V49),0)</f>
        <v>#REF!</v>
      </c>
      <c r="X49" s="59" t="e">
        <f>IF(X$1&lt;=#REF!,_xll.GetCtData("PKAMOUNT","AMOUNT",$A$1:$A$3,$A49:$B49,X$3:X$5,"#")-SUM($M49:W49),0)</f>
        <v>#REF!</v>
      </c>
      <c r="Y49" s="59">
        <f>_xll.GetCtData("PKAMOUNT","AMOUNT",$A$1:$A$3,$A49:$B49,Y$3:Y$5,"#")</f>
        <v>0</v>
      </c>
      <c r="Z49" s="16"/>
      <c r="AA49" s="59" t="e">
        <f>$K49*#REF!/12</f>
        <v>#REF!</v>
      </c>
      <c r="AB49" s="60" t="e">
        <f t="shared" si="19"/>
        <v>#REF!</v>
      </c>
      <c r="AC49" s="31"/>
      <c r="AD49" s="59" t="e">
        <f>$L49*#REF!/12</f>
        <v>#REF!</v>
      </c>
      <c r="AE49" s="60" t="e">
        <f t="shared" si="20"/>
        <v>#REF!</v>
      </c>
    </row>
    <row r="50" spans="1:33" ht="18" customHeight="1" collapsed="1" x14ac:dyDescent="0.2">
      <c r="A50" s="32"/>
      <c r="B50" s="32"/>
      <c r="C50" s="4" t="e">
        <f t="shared" si="17"/>
        <v>#REF!</v>
      </c>
      <c r="D50" s="4" t="e">
        <f t="shared" si="18"/>
        <v>#REF!</v>
      </c>
      <c r="F50" s="51" t="s">
        <v>363</v>
      </c>
      <c r="G50" s="16"/>
      <c r="H50" s="61">
        <f>H47+H48+H49</f>
        <v>0</v>
      </c>
      <c r="I50" s="61">
        <f t="shared" ref="I50:Y50" si="33">I47+I48+I49</f>
        <v>0</v>
      </c>
      <c r="J50" s="61">
        <f t="shared" si="33"/>
        <v>0</v>
      </c>
      <c r="K50" s="86">
        <f t="shared" si="33"/>
        <v>0</v>
      </c>
      <c r="L50" s="86">
        <f t="shared" si="33"/>
        <v>0</v>
      </c>
      <c r="M50" s="61">
        <f t="shared" si="33"/>
        <v>0</v>
      </c>
      <c r="N50" s="61" t="e">
        <f t="shared" si="33"/>
        <v>#REF!</v>
      </c>
      <c r="O50" s="61" t="e">
        <f t="shared" si="33"/>
        <v>#REF!</v>
      </c>
      <c r="P50" s="61" t="e">
        <f t="shared" si="33"/>
        <v>#REF!</v>
      </c>
      <c r="Q50" s="61" t="e">
        <f t="shared" si="33"/>
        <v>#REF!</v>
      </c>
      <c r="R50" s="61" t="e">
        <f t="shared" si="33"/>
        <v>#REF!</v>
      </c>
      <c r="S50" s="61" t="e">
        <f t="shared" ref="S50:T50" si="34">S47+S48+S49</f>
        <v>#REF!</v>
      </c>
      <c r="T50" s="61" t="e">
        <f t="shared" si="34"/>
        <v>#REF!</v>
      </c>
      <c r="U50" s="61" t="e">
        <f t="shared" si="33"/>
        <v>#REF!</v>
      </c>
      <c r="V50" s="61" t="e">
        <f t="shared" si="33"/>
        <v>#REF!</v>
      </c>
      <c r="W50" s="61" t="e">
        <f t="shared" si="33"/>
        <v>#REF!</v>
      </c>
      <c r="X50" s="61" t="e">
        <f t="shared" si="33"/>
        <v>#REF!</v>
      </c>
      <c r="Y50" s="61">
        <f t="shared" si="33"/>
        <v>0</v>
      </c>
      <c r="Z50" s="16"/>
      <c r="AA50" s="61" t="e">
        <f>$K50*#REF!/12</f>
        <v>#REF!</v>
      </c>
      <c r="AB50" s="60" t="e">
        <f t="shared" si="19"/>
        <v>#REF!</v>
      </c>
      <c r="AC50" s="34"/>
      <c r="AD50" s="61" t="e">
        <f>$L50*#REF!/12</f>
        <v>#REF!</v>
      </c>
      <c r="AE50" s="60" t="e">
        <f t="shared" si="20"/>
        <v>#REF!</v>
      </c>
      <c r="AG50" s="48"/>
    </row>
    <row r="51" spans="1:33" ht="18" customHeight="1" x14ac:dyDescent="0.2">
      <c r="A51" s="30" t="s">
        <v>311</v>
      </c>
      <c r="B51" s="30" t="s">
        <v>17</v>
      </c>
      <c r="C51" s="4" t="e">
        <f t="shared" si="17"/>
        <v>#REF!</v>
      </c>
      <c r="D51" s="4" t="e">
        <f t="shared" si="18"/>
        <v>#REF!</v>
      </c>
      <c r="F51" s="51" t="s">
        <v>374</v>
      </c>
      <c r="G51" s="16"/>
      <c r="H51" s="61">
        <f>_xll.GetCtData("PKAMOUNT","AMOUNT",$A$1:$A$3,$A51:$B51,H$3:H$5,"#")</f>
        <v>0</v>
      </c>
      <c r="I51" s="61">
        <f>_xll.GetCtData("PKAMOUNT","AMOUNT",$A$1:$A$3,$A51:$B51,I$3:I$5,"#")</f>
        <v>0</v>
      </c>
      <c r="J51" s="61">
        <f>_xll.GetCtData("PKAMOUNT","AMOUNT",$A$1:$A$3,$A51:$B51,J$3:J$5,"#")</f>
        <v>0</v>
      </c>
      <c r="K51" s="86">
        <f>_xll.GetCtData("PKAMOUNT","AMOUNT",$A$1:$A$3,$A51:$B51,K$3:K$5,"#")</f>
        <v>0</v>
      </c>
      <c r="L51" s="86">
        <f>_xll.GetCtData("PKAMOUNT","AMOUNT",$A$1:$A$3,$A51:$B51,L$3:L$5,"#")</f>
        <v>0</v>
      </c>
      <c r="M51" s="61">
        <f>_xll.GetCtData("PKAMOUNT","AMOUNT",$A$1:$A$3,$A51:$B51,M$3:M$5,"#")</f>
        <v>0</v>
      </c>
      <c r="N51" s="61" t="e">
        <f>IF(N$1&lt;=#REF!,_xll.GetCtData("PKAMOUNT","AMOUNT",$A$1:$A$3,$A51:$B51,N$3:N$5,"#")-SUM($M51:M51),0)</f>
        <v>#REF!</v>
      </c>
      <c r="O51" s="61" t="e">
        <f>IF(O$1&lt;=#REF!,_xll.GetCtData("PKAMOUNT","AMOUNT",$A$1:$A$3,$A51:$B51,O$3:O$5,"#")-SUM($M51:N51),0)</f>
        <v>#REF!</v>
      </c>
      <c r="P51" s="61" t="e">
        <f>IF(P$1&lt;=#REF!,_xll.GetCtData("PKAMOUNT","AMOUNT",$A$1:$A$3,$A51:$B51,P$3:P$5,"#")-SUM($M51:O51),0)</f>
        <v>#REF!</v>
      </c>
      <c r="Q51" s="61" t="e">
        <f>IF(Q$1&lt;=#REF!,_xll.GetCtData("PKAMOUNT","AMOUNT",$A$1:$A$3,$A51:$B51,Q$3:Q$5,"#")-SUM($M51:P51),0)</f>
        <v>#REF!</v>
      </c>
      <c r="R51" s="61" t="e">
        <f>IF(R$1&lt;=#REF!,_xll.GetCtData("PKAMOUNT","AMOUNT",$A$1:$A$3,$A51:$B51,R$3:R$5,"#")-SUM($M51:Q51),0)</f>
        <v>#REF!</v>
      </c>
      <c r="S51" s="61" t="e">
        <f>IF(S$1&lt;=#REF!,_xll.GetCtData("PKAMOUNT","AMOUNT",$A$1:$A$3,$A51:$B51,S$3:S$5,"#")-SUM($M51:R51),0)</f>
        <v>#REF!</v>
      </c>
      <c r="T51" s="61" t="e">
        <f>IF(T$1&lt;=#REF!,_xll.GetCtData("PKAMOUNT","AMOUNT",$A$1:$A$3,$A51:$B51,T$3:T$5,"#")-SUM($M51:S51),0)</f>
        <v>#REF!</v>
      </c>
      <c r="U51" s="61" t="e">
        <f>IF(U$1&lt;=#REF!,_xll.GetCtData("PKAMOUNT","AMOUNT",$A$1:$A$3,$A51:$B51,U$3:U$5,"#")-SUM($M51:T51),0)</f>
        <v>#REF!</v>
      </c>
      <c r="V51" s="61" t="e">
        <f>IF(V$1&lt;=#REF!,_xll.GetCtData("PKAMOUNT","AMOUNT",$A$1:$A$3,$A51:$B51,V$3:V$5,"#")-SUM($M51:U51),0)</f>
        <v>#REF!</v>
      </c>
      <c r="W51" s="61" t="e">
        <f>IF(W$1&lt;=#REF!,_xll.GetCtData("PKAMOUNT","AMOUNT",$A$1:$A$3,$A51:$B51,W$3:W$5,"#")-SUM($M51:V51),0)</f>
        <v>#REF!</v>
      </c>
      <c r="X51" s="61" t="e">
        <f>IF(X$1&lt;=#REF!,_xll.GetCtData("PKAMOUNT","AMOUNT",$A$1:$A$3,$A51:$B51,X$3:X$5,"#")-SUM($M51:W51),0)</f>
        <v>#REF!</v>
      </c>
      <c r="Y51" s="61">
        <f>_xll.GetCtData("PKAMOUNT","AMOUNT",$A$1:$A$3,$A51:$B51,Y$3:Y$5,"#")</f>
        <v>0</v>
      </c>
      <c r="Z51" s="16"/>
      <c r="AA51" s="61" t="e">
        <f>$K51*#REF!/12</f>
        <v>#REF!</v>
      </c>
      <c r="AB51" s="60" t="e">
        <f t="shared" si="19"/>
        <v>#REF!</v>
      </c>
      <c r="AD51" s="61" t="e">
        <f>$L51*#REF!/12</f>
        <v>#REF!</v>
      </c>
      <c r="AE51" s="60" t="e">
        <f t="shared" si="20"/>
        <v>#REF!</v>
      </c>
    </row>
    <row r="52" spans="1:33" ht="18" customHeight="1" x14ac:dyDescent="0.2">
      <c r="A52" s="32"/>
      <c r="B52" s="32"/>
      <c r="C52" s="5" t="e">
        <f t="shared" si="17"/>
        <v>#REF!</v>
      </c>
      <c r="D52" s="5" t="e">
        <f t="shared" si="18"/>
        <v>#REF!</v>
      </c>
      <c r="F52" s="118" t="s">
        <v>375</v>
      </c>
      <c r="G52" s="16"/>
      <c r="H52" s="120">
        <f t="shared" ref="H52:Y52" si="35">H40+H37+H43+H46+H50+H51</f>
        <v>0</v>
      </c>
      <c r="I52" s="120">
        <f t="shared" si="35"/>
        <v>0</v>
      </c>
      <c r="J52" s="120">
        <f t="shared" si="35"/>
        <v>0</v>
      </c>
      <c r="K52" s="121">
        <f t="shared" si="35"/>
        <v>0</v>
      </c>
      <c r="L52" s="121">
        <f t="shared" si="35"/>
        <v>0</v>
      </c>
      <c r="M52" s="120">
        <f t="shared" si="35"/>
        <v>0</v>
      </c>
      <c r="N52" s="120" t="e">
        <f t="shared" si="35"/>
        <v>#REF!</v>
      </c>
      <c r="O52" s="120" t="e">
        <f t="shared" si="35"/>
        <v>#REF!</v>
      </c>
      <c r="P52" s="120" t="e">
        <f t="shared" si="35"/>
        <v>#REF!</v>
      </c>
      <c r="Q52" s="120" t="e">
        <f t="shared" si="35"/>
        <v>#REF!</v>
      </c>
      <c r="R52" s="120" t="e">
        <f t="shared" si="35"/>
        <v>#REF!</v>
      </c>
      <c r="S52" s="120" t="e">
        <f t="shared" ref="S52:T52" si="36">S40+S37+S43+S46+S50+S51</f>
        <v>#REF!</v>
      </c>
      <c r="T52" s="120" t="e">
        <f t="shared" si="36"/>
        <v>#REF!</v>
      </c>
      <c r="U52" s="120" t="e">
        <f t="shared" si="35"/>
        <v>#REF!</v>
      </c>
      <c r="V52" s="120" t="e">
        <f t="shared" si="35"/>
        <v>#REF!</v>
      </c>
      <c r="W52" s="120" t="e">
        <f t="shared" si="35"/>
        <v>#REF!</v>
      </c>
      <c r="X52" s="120" t="e">
        <f t="shared" si="35"/>
        <v>#REF!</v>
      </c>
      <c r="Y52" s="120">
        <f t="shared" si="35"/>
        <v>0</v>
      </c>
      <c r="Z52" s="16"/>
      <c r="AA52" s="120" t="e">
        <f>$K52*#REF!/12</f>
        <v>#REF!</v>
      </c>
      <c r="AB52" s="60" t="e">
        <f t="shared" si="19"/>
        <v>#REF!</v>
      </c>
      <c r="AC52" s="123"/>
      <c r="AD52" s="120" t="e">
        <f>$L52*#REF!/12</f>
        <v>#REF!</v>
      </c>
      <c r="AE52" s="60" t="e">
        <f t="shared" si="20"/>
        <v>#REF!</v>
      </c>
    </row>
    <row r="53" spans="1:33" ht="8.25" customHeight="1" x14ac:dyDescent="0.2">
      <c r="A53" s="116"/>
      <c r="F53" s="8"/>
      <c r="G53" s="16"/>
      <c r="K53" s="8"/>
      <c r="L53" s="8"/>
      <c r="Z53" s="16"/>
      <c r="AB53" s="8"/>
      <c r="AE53" s="8"/>
    </row>
    <row r="54" spans="1:33" ht="18" customHeight="1" x14ac:dyDescent="0.2">
      <c r="A54" s="30" t="s">
        <v>313</v>
      </c>
      <c r="B54" s="30" t="s">
        <v>17</v>
      </c>
      <c r="C54" s="4" t="e">
        <f>IF(AND($Y54=0,AA54=0),0,IF(AA54=0,IF($Y54&gt;=0,AB54/$Y54,-AB54/$Y54),IF(AA54&gt;=0,AB54/AA54,-AB54/AA54)))</f>
        <v>#REF!</v>
      </c>
      <c r="D54" s="4" t="e">
        <f>IF(AND($Y54=0,AD54=0),0,IF(AD54=0,IF($Y54&gt;=0,AE54/$Y54,-AE54/$Y54),IF(AD54&gt;=0,AE54/AD54,-AE54/AD54)))</f>
        <v>#REF!</v>
      </c>
      <c r="F54" s="51" t="s">
        <v>312</v>
      </c>
      <c r="G54" s="16"/>
      <c r="H54" s="61">
        <f>_xll.GetCtData("PKAMOUNT","AMOUNT",$A$1:$A$3,$A54:$B54,H$3:H$5,"#")</f>
        <v>0</v>
      </c>
      <c r="I54" s="61">
        <f>_xll.GetCtData("PKAMOUNT","AMOUNT",$A$1:$A$3,$A54:$B54,I$3:I$5,"#")</f>
        <v>0</v>
      </c>
      <c r="J54" s="61">
        <f>_xll.GetCtData("PKAMOUNT","AMOUNT",$A$1:$A$3,$A54:$B54,J$3:J$5,"#")</f>
        <v>0</v>
      </c>
      <c r="K54" s="86">
        <f>_xll.GetCtData("PKAMOUNT","AMOUNT",$A$1:$A$3,$A54:$B54,K$3:K$5,"#")</f>
        <v>0</v>
      </c>
      <c r="L54" s="86">
        <f>_xll.GetCtData("PKAMOUNT","AMOUNT",$A$1:$A$3,$A54:$B54,L$3:L$5,"#")</f>
        <v>0</v>
      </c>
      <c r="M54" s="61">
        <f>_xll.GetCtData("PKAMOUNT","AMOUNT",$A$1:$A$3,$A54:$B54,M$3:M$5,"#")</f>
        <v>0</v>
      </c>
      <c r="N54" s="61" t="e">
        <f>IF(N$1&lt;=#REF!,_xll.GetCtData("PKAMOUNT","AMOUNT",$A$1:$A$3,$A54:$B54,N$3:N$5,"#")-SUM($M54:M54),0)</f>
        <v>#REF!</v>
      </c>
      <c r="O54" s="61" t="e">
        <f>IF(O$1&lt;=#REF!,_xll.GetCtData("PKAMOUNT","AMOUNT",$A$1:$A$3,$A54:$B54,O$3:O$5,"#")-SUM($M54:N54),0)</f>
        <v>#REF!</v>
      </c>
      <c r="P54" s="61" t="e">
        <f>IF(P$1&lt;=#REF!,_xll.GetCtData("PKAMOUNT","AMOUNT",$A$1:$A$3,$A54:$B54,P$3:P$5,"#")-SUM($M54:O54),0)</f>
        <v>#REF!</v>
      </c>
      <c r="Q54" s="61" t="e">
        <f>IF(Q$1&lt;=#REF!,_xll.GetCtData("PKAMOUNT","AMOUNT",$A$1:$A$3,$A54:$B54,Q$3:Q$5,"#")-SUM($M54:P54),0)</f>
        <v>#REF!</v>
      </c>
      <c r="R54" s="61" t="e">
        <f>IF(R$1&lt;=#REF!,_xll.GetCtData("PKAMOUNT","AMOUNT",$A$1:$A$3,$A54:$B54,R$3:R$5,"#")-SUM($M54:Q54),0)</f>
        <v>#REF!</v>
      </c>
      <c r="S54" s="61" t="e">
        <f>IF(S$1&lt;=#REF!,_xll.GetCtData("PKAMOUNT","AMOUNT",$A$1:$A$3,$A54:$B54,S$3:S$5,"#")-SUM($M54:R54),0)</f>
        <v>#REF!</v>
      </c>
      <c r="T54" s="61" t="e">
        <f>IF(T$1&lt;=#REF!,_xll.GetCtData("PKAMOUNT","AMOUNT",$A$1:$A$3,$A54:$B54,T$3:T$5,"#")-SUM($M54:S54),0)</f>
        <v>#REF!</v>
      </c>
      <c r="U54" s="61" t="e">
        <f>IF(U$1&lt;=#REF!,_xll.GetCtData("PKAMOUNT","AMOUNT",$A$1:$A$3,$A54:$B54,U$3:U$5,"#")-SUM($M54:T54),0)</f>
        <v>#REF!</v>
      </c>
      <c r="V54" s="61" t="e">
        <f>IF(V$1&lt;=#REF!,_xll.GetCtData("PKAMOUNT","AMOUNT",$A$1:$A$3,$A54:$B54,V$3:V$5,"#")-SUM($M54:U54),0)</f>
        <v>#REF!</v>
      </c>
      <c r="W54" s="61" t="e">
        <f>IF(W$1&lt;=#REF!,_xll.GetCtData("PKAMOUNT","AMOUNT",$A$1:$A$3,$A54:$B54,W$3:W$5,"#")-SUM($M54:V54),0)</f>
        <v>#REF!</v>
      </c>
      <c r="X54" s="61" t="e">
        <f>IF(X$1&lt;=#REF!,_xll.GetCtData("PKAMOUNT","AMOUNT",$A$1:$A$3,$A54:$B54,X$3:X$5,"#")-SUM($M54:W54),0)</f>
        <v>#REF!</v>
      </c>
      <c r="Y54" s="61">
        <f>_xll.GetCtData("PKAMOUNT","AMOUNT",$A$1:$A$3,$A54:$B54,Y$3:Y$5,"#")</f>
        <v>0</v>
      </c>
      <c r="Z54" s="16"/>
      <c r="AA54" s="61" t="e">
        <f>$K54*#REF!/12</f>
        <v>#REF!</v>
      </c>
      <c r="AB54" s="60" t="e">
        <f>ROUND($Y54-AA54,2)</f>
        <v>#REF!</v>
      </c>
      <c r="AD54" s="61" t="e">
        <f>$L54*#REF!/12</f>
        <v>#REF!</v>
      </c>
      <c r="AE54" s="60" t="e">
        <f>ROUND($Y54-AD54,2)</f>
        <v>#REF!</v>
      </c>
    </row>
    <row r="55" spans="1:33" ht="8.25" customHeight="1" x14ac:dyDescent="0.2">
      <c r="A55" s="116"/>
      <c r="F55" s="8"/>
      <c r="G55" s="16"/>
      <c r="K55" s="8"/>
      <c r="L55" s="8"/>
      <c r="Z55" s="16"/>
      <c r="AB55" s="8"/>
      <c r="AE55" s="8"/>
    </row>
    <row r="56" spans="1:33" s="7" customFormat="1" ht="18" customHeight="1" x14ac:dyDescent="0.2">
      <c r="A56" s="30" t="s">
        <v>299</v>
      </c>
      <c r="B56" s="30" t="s">
        <v>17</v>
      </c>
      <c r="C56" s="4" t="e">
        <f>IF(AND($Y56=0,AA56=0),0,IF(AA56=0,IF($Y56&gt;=0,AB56/$Y56,-AB56/$Y56),IF(AA56&gt;=0,AB56/AA56,-AB56/AA56)))</f>
        <v>#REF!</v>
      </c>
      <c r="D56" s="4" t="e">
        <f>IF(AND($Y56=0,AD56=0),0,IF(AD56=0,IF($Y56&gt;=0,AE56/$Y56,-AE56/$Y56),IF(AD56&gt;=0,AE56/AD56,-AE56/AD56)))</f>
        <v>#REF!</v>
      </c>
      <c r="E56" s="8"/>
      <c r="F56" s="45" t="s">
        <v>376</v>
      </c>
      <c r="G56" s="16"/>
      <c r="H56" s="62">
        <f>_xll.GetCtData("PKAMOUNT","AMOUNT",$A$1:$A$3,$A56:$B56,H$3:H$5,"#-38,251")</f>
        <v>-38.250999999999998</v>
      </c>
      <c r="I56" s="62">
        <f>_xll.GetCtData("PKAMOUNT","AMOUNT",$A$1:$A$3,$A56:$B56,I$3:I$5,"#-16,282")</f>
        <v>-16.282</v>
      </c>
      <c r="J56" s="62">
        <f>_xll.GetCtData("PKAMOUNT","AMOUNT",$A$1:$A$3,$A56:$B56,J$3:J$5,"#-16,282")</f>
        <v>-16.282</v>
      </c>
      <c r="K56" s="108">
        <f>_xll.GetCtData("PKAMOUNT","AMOUNT",$A$1:$A$3,$A56:$B56,K$3:K$5,"#")</f>
        <v>0</v>
      </c>
      <c r="L56" s="108">
        <f>_xll.GetCtData("PKAMOUNT","AMOUNT",$A$1:$A$3,$A56:$B56,L$3:L$5,"#")</f>
        <v>0</v>
      </c>
      <c r="M56" s="62">
        <f>_xll.GetCtData("PKAMOUNT","AMOUNT",$A$1:$A$3,$A56:$B56,M$3:M$5,"#")</f>
        <v>0</v>
      </c>
      <c r="N56" s="62" t="e">
        <f>IF(N$1&lt;=#REF!,_xll.GetCtData("PKAMOUNT","AMOUNT",$A$1:$A$3,$A56:$B56,N$3:N$5,"#")-SUM($M56:M56),0)</f>
        <v>#REF!</v>
      </c>
      <c r="O56" s="62" t="e">
        <f>IF(O$1&lt;=#REF!,_xll.GetCtData("PKAMOUNT","AMOUNT",$A$1:$A$3,$A56:$B56,O$3:O$5,"#")-SUM($M56:N56),0)</f>
        <v>#REF!</v>
      </c>
      <c r="P56" s="62" t="e">
        <f>IF(P$1&lt;=#REF!,_xll.GetCtData("PKAMOUNT","AMOUNT",$A$1:$A$3,$A56:$B56,P$3:P$5,"#")-SUM($M56:O56),0)</f>
        <v>#REF!</v>
      </c>
      <c r="Q56" s="62" t="e">
        <f>IF(Q$1&lt;=#REF!,_xll.GetCtData("PKAMOUNT","AMOUNT",$A$1:$A$3,$A56:$B56,Q$3:Q$5,"#")-SUM($M56:P56),0)</f>
        <v>#REF!</v>
      </c>
      <c r="R56" s="62" t="e">
        <f>IF(R$1&lt;=#REF!,_xll.GetCtData("PKAMOUNT","AMOUNT",$A$1:$A$3,$A56:$B56,R$3:R$5,"#")-SUM($M56:Q56),0)</f>
        <v>#REF!</v>
      </c>
      <c r="S56" s="62" t="e">
        <f>IF(S$1&lt;=#REF!,_xll.GetCtData("PKAMOUNT","AMOUNT",$A$1:$A$3,$A56:$B56,S$3:S$5,"#")-SUM($M56:R56),0)</f>
        <v>#REF!</v>
      </c>
      <c r="T56" s="62" t="e">
        <f>IF(T$1&lt;=#REF!,_xll.GetCtData("PKAMOUNT","AMOUNT",$A$1:$A$3,$A56:$B56,T$3:T$5,"#")-SUM($M56:S56),0)</f>
        <v>#REF!</v>
      </c>
      <c r="U56" s="62" t="e">
        <f>IF(U$1&lt;=#REF!,_xll.GetCtData("PKAMOUNT","AMOUNT",$A$1:$A$3,$A56:$B56,U$3:U$5,"#")-SUM($M56:T56),0)</f>
        <v>#REF!</v>
      </c>
      <c r="V56" s="62" t="e">
        <f>IF(V$1&lt;=#REF!,_xll.GetCtData("PKAMOUNT","AMOUNT",$A$1:$A$3,$A56:$B56,V$3:V$5,"#")-SUM($M56:U56),0)</f>
        <v>#REF!</v>
      </c>
      <c r="W56" s="62" t="e">
        <f>IF(W$1&lt;=#REF!,_xll.GetCtData("PKAMOUNT","AMOUNT",$A$1:$A$3,$A56:$B56,W$3:W$5,"#")-SUM($M56:V56),0)</f>
        <v>#REF!</v>
      </c>
      <c r="X56" s="62" t="e">
        <f>IF(X$1&lt;=#REF!,_xll.GetCtData("PKAMOUNT","AMOUNT",$A$1:$A$3,$A56:$B56,X$3:X$5,"#")-SUM($M56:W56),0)</f>
        <v>#REF!</v>
      </c>
      <c r="Y56" s="62">
        <f>_xll.GetCtData("PKAMOUNT","AMOUNT",$A$1:$A$3,$A56:$B56,Y$3:Y$5,"#")</f>
        <v>0</v>
      </c>
      <c r="Z56" s="16"/>
      <c r="AA56" s="62" t="e">
        <f>$K56*#REF!/12</f>
        <v>#REF!</v>
      </c>
      <c r="AB56" s="60" t="e">
        <f>ROUND($Y56-AA56,2)</f>
        <v>#REF!</v>
      </c>
      <c r="AD56" s="62" t="e">
        <f>$L56*#REF!/12</f>
        <v>#REF!</v>
      </c>
      <c r="AE56" s="60" t="e">
        <f>ROUND($Y56-AD56,2)</f>
        <v>#REF!</v>
      </c>
    </row>
    <row r="57" spans="1:33" ht="8.25" customHeight="1" x14ac:dyDescent="0.2">
      <c r="A57" s="116"/>
      <c r="F57" s="8"/>
      <c r="G57" s="16"/>
      <c r="K57" s="8"/>
      <c r="L57" s="8"/>
      <c r="Z57" s="16"/>
      <c r="AB57" s="8"/>
      <c r="AE57" s="8"/>
    </row>
    <row r="58" spans="1:33" ht="18" customHeight="1" x14ac:dyDescent="0.2">
      <c r="A58" s="35"/>
      <c r="B58" s="32"/>
      <c r="C58" s="4" t="e">
        <f>IF(AND($Y58=0,AA58=0),0,IF(AA58=0,IF($Y58&gt;=0,AB58/$Y58,-AB58/$Y58),IF(AA58&gt;=0,AB58/AA58,-AB58/AA58)))</f>
        <v>#REF!</v>
      </c>
      <c r="D58" s="4" t="e">
        <f>IF(AND($Y58=0,AD58=0),0,IF(AD58=0,IF($Y58&gt;=0,AE58/$Y58,-AE58/$Y58),IF(AD58&gt;=0,AE58/AD58,-AE58/AD58)))</f>
        <v>#REF!</v>
      </c>
      <c r="F58" s="95" t="s">
        <v>234</v>
      </c>
      <c r="G58" s="16"/>
      <c r="H58" s="64">
        <f t="shared" ref="H58:Y58" si="37">H18+H56</f>
        <v>-38.250999999999998</v>
      </c>
      <c r="I58" s="64">
        <f t="shared" si="37"/>
        <v>-16.282</v>
      </c>
      <c r="J58" s="64">
        <f t="shared" si="37"/>
        <v>-16.282</v>
      </c>
      <c r="K58" s="89">
        <f t="shared" si="37"/>
        <v>0</v>
      </c>
      <c r="L58" s="89">
        <f t="shared" si="37"/>
        <v>0</v>
      </c>
      <c r="M58" s="64">
        <f t="shared" si="37"/>
        <v>0</v>
      </c>
      <c r="N58" s="64" t="e">
        <f t="shared" si="37"/>
        <v>#REF!</v>
      </c>
      <c r="O58" s="64" t="e">
        <f t="shared" si="37"/>
        <v>#REF!</v>
      </c>
      <c r="P58" s="64" t="e">
        <f t="shared" si="37"/>
        <v>#REF!</v>
      </c>
      <c r="Q58" s="64" t="e">
        <f t="shared" si="37"/>
        <v>#REF!</v>
      </c>
      <c r="R58" s="64" t="e">
        <f t="shared" si="37"/>
        <v>#REF!</v>
      </c>
      <c r="S58" s="64" t="e">
        <f t="shared" ref="S58:T58" si="38">S18+S56</f>
        <v>#REF!</v>
      </c>
      <c r="T58" s="64" t="e">
        <f t="shared" si="38"/>
        <v>#REF!</v>
      </c>
      <c r="U58" s="64" t="e">
        <f t="shared" si="37"/>
        <v>#REF!</v>
      </c>
      <c r="V58" s="64" t="e">
        <f t="shared" si="37"/>
        <v>#REF!</v>
      </c>
      <c r="W58" s="64" t="e">
        <f t="shared" si="37"/>
        <v>#REF!</v>
      </c>
      <c r="X58" s="64" t="e">
        <f t="shared" si="37"/>
        <v>#REF!</v>
      </c>
      <c r="Y58" s="64">
        <f t="shared" si="37"/>
        <v>0</v>
      </c>
      <c r="Z58" s="16"/>
      <c r="AA58" s="64" t="e">
        <f>$K58*#REF!/12</f>
        <v>#REF!</v>
      </c>
      <c r="AB58" s="60" t="e">
        <f>ROUND($Y58-AA58,2)</f>
        <v>#REF!</v>
      </c>
      <c r="AD58" s="64" t="e">
        <f>$L58*#REF!/12</f>
        <v>#REF!</v>
      </c>
      <c r="AE58" s="60" t="e">
        <f>ROUND($Y58-AD58,2)</f>
        <v>#REF!</v>
      </c>
    </row>
    <row r="59" spans="1:33" ht="6.95" customHeight="1" x14ac:dyDescent="0.2">
      <c r="C59" s="4"/>
      <c r="D59" s="4"/>
      <c r="F59" s="96"/>
      <c r="G59" s="16"/>
      <c r="H59" s="16"/>
      <c r="I59" s="16"/>
      <c r="J59" s="16"/>
      <c r="K59" s="85"/>
      <c r="L59" s="85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20"/>
      <c r="AD59" s="16"/>
      <c r="AE59" s="20"/>
    </row>
    <row r="60" spans="1:33" s="36" customFormat="1" ht="18" customHeight="1" x14ac:dyDescent="0.2">
      <c r="A60" s="30" t="s">
        <v>21</v>
      </c>
      <c r="B60" s="30" t="s">
        <v>17</v>
      </c>
      <c r="C60" s="4" t="e">
        <f t="shared" ref="C60:C68" si="39">IF(AND($Y60=0,AA60=0),0,IF(AA60=0,IF($Y60&gt;=0,AB60/$Y60,-AB60/$Y60),IF(AA60&gt;=0,AB60/AA60,-AB60/AA60)))</f>
        <v>#REF!</v>
      </c>
      <c r="D60" s="4" t="e">
        <f t="shared" ref="D60:D68" si="40">IF(AND($Y60=0,AD60=0),0,IF(AD60=0,IF($Y60&gt;=0,AE60/$Y60,-AE60/$Y60),IF(AD60&gt;=0,AE60/AD60,-AE60/AD60)))</f>
        <v>#REF!</v>
      </c>
      <c r="E60" s="8"/>
      <c r="F60" s="104" t="s">
        <v>24</v>
      </c>
      <c r="G60" s="16"/>
      <c r="H60" s="65">
        <f>_xll.GetCtData("PKAMOUNT","AMOUNT",$A$1:$A$3,$A60:$B60,H$3:H$5,"#")</f>
        <v>0</v>
      </c>
      <c r="I60" s="65">
        <f>_xll.GetCtData("PKAMOUNT","AMOUNT",$A$1:$A$3,$A60:$B60,I$3:I$5,"#")</f>
        <v>0</v>
      </c>
      <c r="J60" s="65">
        <f>_xll.GetCtData("PKAMOUNT","AMOUNT",$A$1:$A$3,$A60:$B60,J$3:J$5,"#")</f>
        <v>0</v>
      </c>
      <c r="K60" s="65">
        <f>_xll.GetCtData("PKAMOUNT","AMOUNT",$A$1:$A$3,$A60:$B60,K$3:K$5,"#")</f>
        <v>0</v>
      </c>
      <c r="L60" s="65">
        <f>_xll.GetCtData("PKAMOUNT","AMOUNT",$A$1:$A$3,$A60:$B60,L$3:L$5,"#")</f>
        <v>0</v>
      </c>
      <c r="M60" s="65">
        <f>_xll.GetCtData("PKAMOUNT","AMOUNT",$A$1:$A$3,$A60:$B60,M$3:M$5,"#")</f>
        <v>0</v>
      </c>
      <c r="N60" s="65" t="e">
        <f>IF(N$1&lt;=#REF!,_xll.GetCtData("PKAMOUNT","AMOUNT",$A$1:$A$3,$A60:$B60,N$3:N$5,"#")-SUM($M60:M60),0)</f>
        <v>#REF!</v>
      </c>
      <c r="O60" s="65" t="e">
        <f>IF(O$1&lt;=#REF!,_xll.GetCtData("PKAMOUNT","AMOUNT",$A$1:$A$3,$A60:$B60,O$3:O$5,"#")-SUM($M60:N60),0)</f>
        <v>#REF!</v>
      </c>
      <c r="P60" s="65" t="e">
        <f>IF(P$1&lt;=#REF!,_xll.GetCtData("PKAMOUNT","AMOUNT",$A$1:$A$3,$A60:$B60,P$3:P$5,"#")-SUM($M60:O60),0)</f>
        <v>#REF!</v>
      </c>
      <c r="Q60" s="65" t="e">
        <f>IF(Q$1&lt;=#REF!,_xll.GetCtData("PKAMOUNT","AMOUNT",$A$1:$A$3,$A60:$B60,Q$3:Q$5,"#")-SUM($M60:P60),0)</f>
        <v>#REF!</v>
      </c>
      <c r="R60" s="65" t="e">
        <f>IF(R$1&lt;=#REF!,_xll.GetCtData("PKAMOUNT","AMOUNT",$A$1:$A$3,$A60:$B60,R$3:R$5,"#")-SUM($M60:Q60),0)</f>
        <v>#REF!</v>
      </c>
      <c r="S60" s="65" t="e">
        <f>IF(S$1&lt;=#REF!,_xll.GetCtData("PKAMOUNT","AMOUNT",$A$1:$A$3,$A60:$B60,S$3:S$5,"#")-SUM($M60:R60),0)</f>
        <v>#REF!</v>
      </c>
      <c r="T60" s="65" t="e">
        <f>IF(T$1&lt;=#REF!,_xll.GetCtData("PKAMOUNT","AMOUNT",$A$1:$A$3,$A60:$B60,T$3:T$5,"#")-SUM($M60:S60),0)</f>
        <v>#REF!</v>
      </c>
      <c r="U60" s="65" t="e">
        <f>IF(U$1&lt;=#REF!,_xll.GetCtData("PKAMOUNT","AMOUNT",$A$1:$A$3,$A60:$B60,U$3:U$5,"#")-SUM($M60:T60),0)</f>
        <v>#REF!</v>
      </c>
      <c r="V60" s="65" t="e">
        <f>IF(V$1&lt;=#REF!,_xll.GetCtData("PKAMOUNT","AMOUNT",$A$1:$A$3,$A60:$B60,V$3:V$5,"#")-SUM($M60:U60),0)</f>
        <v>#REF!</v>
      </c>
      <c r="W60" s="65" t="e">
        <f>IF(W$1&lt;=#REF!,_xll.GetCtData("PKAMOUNT","AMOUNT",$A$1:$A$3,$A60:$B60,W$3:W$5,"#")-SUM($M60:V60),0)</f>
        <v>#REF!</v>
      </c>
      <c r="X60" s="65" t="e">
        <f>IF(X$1&lt;=#REF!,_xll.GetCtData("PKAMOUNT","AMOUNT",$A$1:$A$3,$A60:$B60,X$3:X$5,"#")-SUM($M60:W60),0)</f>
        <v>#REF!</v>
      </c>
      <c r="Y60" s="65">
        <f>_xll.GetCtData("PKAMOUNT","AMOUNT",$A$1:$A$3,$A60:$B60,Y$3:Y$5,"#")</f>
        <v>0</v>
      </c>
      <c r="AA60" s="65" t="e">
        <f>$K60*#REF!/12</f>
        <v>#REF!</v>
      </c>
      <c r="AB60" s="60" t="e">
        <f t="shared" ref="AB60:AB68" si="41">ROUND($Y60-AA60,2)</f>
        <v>#REF!</v>
      </c>
      <c r="AD60" s="65" t="e">
        <f>$L60*#REF!/12</f>
        <v>#REF!</v>
      </c>
      <c r="AE60" s="60" t="e">
        <f t="shared" ref="AE60:AE68" si="42">ROUND($Y60-AD60,2)</f>
        <v>#REF!</v>
      </c>
    </row>
    <row r="61" spans="1:33" s="36" customFormat="1" ht="18" hidden="1" customHeight="1" outlineLevel="1" x14ac:dyDescent="0.2">
      <c r="A61" s="30" t="s">
        <v>119</v>
      </c>
      <c r="B61" s="30" t="s">
        <v>17</v>
      </c>
      <c r="C61" s="4" t="e">
        <f t="shared" si="39"/>
        <v>#REF!</v>
      </c>
      <c r="D61" s="4" t="e">
        <f t="shared" si="40"/>
        <v>#REF!</v>
      </c>
      <c r="E61" s="8"/>
      <c r="F61" s="38" t="s">
        <v>121</v>
      </c>
      <c r="G61" s="16"/>
      <c r="H61" s="66">
        <f>_xll.GetCtData("PKAMOUNT","AMOUNT",$A$1:$A$3,$A61:$B61,H$3:H$5,"#")</f>
        <v>0</v>
      </c>
      <c r="I61" s="66">
        <f>_xll.GetCtData("PKAMOUNT","AMOUNT",$A$1:$A$3,$A61:$B61,I$3:I$5,"#")</f>
        <v>0</v>
      </c>
      <c r="J61" s="66">
        <f>_xll.GetCtData("PKAMOUNT","AMOUNT",$A$1:$A$3,$A61:$B61,J$3:J$5,"#")</f>
        <v>0</v>
      </c>
      <c r="K61" s="66">
        <f>_xll.GetCtData("PKAMOUNT","AMOUNT",$A$1:$A$3,$A61:$B61,K$3:K$5,"#")</f>
        <v>0</v>
      </c>
      <c r="L61" s="66">
        <f>_xll.GetCtData("PKAMOUNT","AMOUNT",$A$1:$A$3,$A61:$B61,L$3:L$5,"#")</f>
        <v>0</v>
      </c>
      <c r="M61" s="66">
        <f>_xll.GetCtData("PKAMOUNT","AMOUNT",$A$1:$A$3,$A61:$B61,M$3:M$5,"#")</f>
        <v>0</v>
      </c>
      <c r="N61" s="66" t="e">
        <f>IF(N$1&lt;=#REF!,_xll.GetCtData("PKAMOUNT","AMOUNT",$A$1:$A$3,$A61:$B61,N$3:N$5,"#")-SUM($M61:M61),0)</f>
        <v>#REF!</v>
      </c>
      <c r="O61" s="66" t="e">
        <f>IF(O$1&lt;=#REF!,_xll.GetCtData("PKAMOUNT","AMOUNT",$A$1:$A$3,$A61:$B61,O$3:O$5,"#")-SUM($M61:N61),0)</f>
        <v>#REF!</v>
      </c>
      <c r="P61" s="66" t="e">
        <f>IF(P$1&lt;=#REF!,_xll.GetCtData("PKAMOUNT","AMOUNT",$A$1:$A$3,$A61:$B61,P$3:P$5,"#")-SUM($M61:O61),0)</f>
        <v>#REF!</v>
      </c>
      <c r="Q61" s="66" t="e">
        <f>IF(Q$1&lt;=#REF!,_xll.GetCtData("PKAMOUNT","AMOUNT",$A$1:$A$3,$A61:$B61,Q$3:Q$5,"#")-SUM($M61:P61),0)</f>
        <v>#REF!</v>
      </c>
      <c r="R61" s="66" t="e">
        <f>IF(R$1&lt;=#REF!,_xll.GetCtData("PKAMOUNT","AMOUNT",$A$1:$A$3,$A61:$B61,R$3:R$5,"#")-SUM($M61:Q61),0)</f>
        <v>#REF!</v>
      </c>
      <c r="S61" s="66" t="e">
        <f>IF(S$1&lt;=#REF!,_xll.GetCtData("PKAMOUNT","AMOUNT",$A$1:$A$3,$A61:$B61,S$3:S$5,"#")-SUM($M61:R61),0)</f>
        <v>#REF!</v>
      </c>
      <c r="T61" s="66" t="e">
        <f>IF(T$1&lt;=#REF!,_xll.GetCtData("PKAMOUNT","AMOUNT",$A$1:$A$3,$A61:$B61,T$3:T$5,"#")-SUM($M61:S61),0)</f>
        <v>#REF!</v>
      </c>
      <c r="U61" s="66" t="e">
        <f>IF(U$1&lt;=#REF!,_xll.GetCtData("PKAMOUNT","AMOUNT",$A$1:$A$3,$A61:$B61,U$3:U$5,"#")-SUM($M61:T61),0)</f>
        <v>#REF!</v>
      </c>
      <c r="V61" s="66" t="e">
        <f>IF(V$1&lt;=#REF!,_xll.GetCtData("PKAMOUNT","AMOUNT",$A$1:$A$3,$A61:$B61,V$3:V$5,"#")-SUM($M61:U61),0)</f>
        <v>#REF!</v>
      </c>
      <c r="W61" s="66" t="e">
        <f>IF(W$1&lt;=#REF!,_xll.GetCtData("PKAMOUNT","AMOUNT",$A$1:$A$3,$A61:$B61,W$3:W$5,"#")-SUM($M61:V61),0)</f>
        <v>#REF!</v>
      </c>
      <c r="X61" s="66" t="e">
        <f>IF(X$1&lt;=#REF!,_xll.GetCtData("PKAMOUNT","AMOUNT",$A$1:$A$3,$A61:$B61,X$3:X$5,"#")-SUM($M61:W61),0)</f>
        <v>#REF!</v>
      </c>
      <c r="Y61" s="66">
        <f>_xll.GetCtData("PKAMOUNT","AMOUNT",$A$1:$A$3,$A61:$B61,Y$3:Y$5,"#")</f>
        <v>0</v>
      </c>
      <c r="Z61" s="34"/>
      <c r="AA61" s="66" t="e">
        <f>$K61*#REF!/12</f>
        <v>#REF!</v>
      </c>
      <c r="AB61" s="60" t="e">
        <f t="shared" si="41"/>
        <v>#REF!</v>
      </c>
      <c r="AC61" s="34"/>
      <c r="AD61" s="66" t="e">
        <f>$L61*#REF!/12</f>
        <v>#REF!</v>
      </c>
      <c r="AE61" s="60" t="e">
        <f t="shared" si="42"/>
        <v>#REF!</v>
      </c>
    </row>
    <row r="62" spans="1:33" s="36" customFormat="1" ht="18" hidden="1" customHeight="1" outlineLevel="1" x14ac:dyDescent="0.2">
      <c r="A62" s="30" t="s">
        <v>120</v>
      </c>
      <c r="B62" s="30" t="s">
        <v>17</v>
      </c>
      <c r="C62" s="4" t="e">
        <f t="shared" si="39"/>
        <v>#REF!</v>
      </c>
      <c r="D62" s="4" t="e">
        <f t="shared" si="40"/>
        <v>#REF!</v>
      </c>
      <c r="E62" s="8"/>
      <c r="F62" s="38" t="s">
        <v>122</v>
      </c>
      <c r="G62" s="16"/>
      <c r="H62" s="66">
        <f>_xll.GetCtData("PKAMOUNT","AMOUNT",$A$1:$A$3,$A62:$B62,H$3:H$5,"#")</f>
        <v>0</v>
      </c>
      <c r="I62" s="66">
        <f>_xll.GetCtData("PKAMOUNT","AMOUNT",$A$1:$A$3,$A62:$B62,I$3:I$5,"#")</f>
        <v>0</v>
      </c>
      <c r="J62" s="66">
        <f>_xll.GetCtData("PKAMOUNT","AMOUNT",$A$1:$A$3,$A62:$B62,J$3:J$5,"#")</f>
        <v>0</v>
      </c>
      <c r="K62" s="66">
        <f>_xll.GetCtData("PKAMOUNT","AMOUNT",$A$1:$A$3,$A62:$B62,K$3:K$5,"#")</f>
        <v>0</v>
      </c>
      <c r="L62" s="66">
        <f>_xll.GetCtData("PKAMOUNT","AMOUNT",$A$1:$A$3,$A62:$B62,L$3:L$5,"#")</f>
        <v>0</v>
      </c>
      <c r="M62" s="66">
        <f>_xll.GetCtData("PKAMOUNT","AMOUNT",$A$1:$A$3,$A62:$B62,M$3:M$5,"#")</f>
        <v>0</v>
      </c>
      <c r="N62" s="66" t="e">
        <f>IF(N$1&lt;=#REF!,_xll.GetCtData("PKAMOUNT","AMOUNT",$A$1:$A$3,$A62:$B62,N$3:N$5,"#")-SUM($M62:M62),0)</f>
        <v>#REF!</v>
      </c>
      <c r="O62" s="66" t="e">
        <f>IF(O$1&lt;=#REF!,_xll.GetCtData("PKAMOUNT","AMOUNT",$A$1:$A$3,$A62:$B62,O$3:O$5,"#")-SUM($M62:N62),0)</f>
        <v>#REF!</v>
      </c>
      <c r="P62" s="66" t="e">
        <f>IF(P$1&lt;=#REF!,_xll.GetCtData("PKAMOUNT","AMOUNT",$A$1:$A$3,$A62:$B62,P$3:P$5,"#")-SUM($M62:O62),0)</f>
        <v>#REF!</v>
      </c>
      <c r="Q62" s="66" t="e">
        <f>IF(Q$1&lt;=#REF!,_xll.GetCtData("PKAMOUNT","AMOUNT",$A$1:$A$3,$A62:$B62,Q$3:Q$5,"#")-SUM($M62:P62),0)</f>
        <v>#REF!</v>
      </c>
      <c r="R62" s="66" t="e">
        <f>IF(R$1&lt;=#REF!,_xll.GetCtData("PKAMOUNT","AMOUNT",$A$1:$A$3,$A62:$B62,R$3:R$5,"#")-SUM($M62:Q62),0)</f>
        <v>#REF!</v>
      </c>
      <c r="S62" s="66" t="e">
        <f>IF(S$1&lt;=#REF!,_xll.GetCtData("PKAMOUNT","AMOUNT",$A$1:$A$3,$A62:$B62,S$3:S$5,"#")-SUM($M62:R62),0)</f>
        <v>#REF!</v>
      </c>
      <c r="T62" s="66" t="e">
        <f>IF(T$1&lt;=#REF!,_xll.GetCtData("PKAMOUNT","AMOUNT",$A$1:$A$3,$A62:$B62,T$3:T$5,"#")-SUM($M62:S62),0)</f>
        <v>#REF!</v>
      </c>
      <c r="U62" s="66" t="e">
        <f>IF(U$1&lt;=#REF!,_xll.GetCtData("PKAMOUNT","AMOUNT",$A$1:$A$3,$A62:$B62,U$3:U$5,"#")-SUM($M62:T62),0)</f>
        <v>#REF!</v>
      </c>
      <c r="V62" s="66" t="e">
        <f>IF(V$1&lt;=#REF!,_xll.GetCtData("PKAMOUNT","AMOUNT",$A$1:$A$3,$A62:$B62,V$3:V$5,"#")-SUM($M62:U62),0)</f>
        <v>#REF!</v>
      </c>
      <c r="W62" s="66" t="e">
        <f>IF(W$1&lt;=#REF!,_xll.GetCtData("PKAMOUNT","AMOUNT",$A$1:$A$3,$A62:$B62,W$3:W$5,"#")-SUM($M62:V62),0)</f>
        <v>#REF!</v>
      </c>
      <c r="X62" s="66" t="e">
        <f>IF(X$1&lt;=#REF!,_xll.GetCtData("PKAMOUNT","AMOUNT",$A$1:$A$3,$A62:$B62,X$3:X$5,"#")-SUM($M62:W62),0)</f>
        <v>#REF!</v>
      </c>
      <c r="Y62" s="66">
        <f>_xll.GetCtData("PKAMOUNT","AMOUNT",$A$1:$A$3,$A62:$B62,Y$3:Y$5,"#")</f>
        <v>0</v>
      </c>
      <c r="Z62" s="34"/>
      <c r="AA62" s="66" t="e">
        <f>$K62*#REF!/12</f>
        <v>#REF!</v>
      </c>
      <c r="AB62" s="60" t="e">
        <f t="shared" si="41"/>
        <v>#REF!</v>
      </c>
      <c r="AC62" s="34"/>
      <c r="AD62" s="66" t="e">
        <f>$L62*#REF!/12</f>
        <v>#REF!</v>
      </c>
      <c r="AE62" s="60" t="e">
        <f t="shared" si="42"/>
        <v>#REF!</v>
      </c>
    </row>
    <row r="63" spans="1:33" s="36" customFormat="1" ht="18" customHeight="1" collapsed="1" x14ac:dyDescent="0.2">
      <c r="A63" s="35"/>
      <c r="B63" s="35"/>
      <c r="C63" s="4" t="e">
        <f t="shared" si="39"/>
        <v>#REF!</v>
      </c>
      <c r="D63" s="4" t="e">
        <f t="shared" si="40"/>
        <v>#REF!</v>
      </c>
      <c r="E63" s="8"/>
      <c r="F63" s="104" t="s">
        <v>0</v>
      </c>
      <c r="G63" s="16"/>
      <c r="H63" s="65">
        <f t="shared" ref="H63:Y63" si="43">H61+H62</f>
        <v>0</v>
      </c>
      <c r="I63" s="65">
        <f t="shared" si="43"/>
        <v>0</v>
      </c>
      <c r="J63" s="65">
        <f t="shared" si="43"/>
        <v>0</v>
      </c>
      <c r="K63" s="65">
        <f t="shared" si="43"/>
        <v>0</v>
      </c>
      <c r="L63" s="65">
        <f t="shared" si="43"/>
        <v>0</v>
      </c>
      <c r="M63" s="65">
        <f t="shared" si="43"/>
        <v>0</v>
      </c>
      <c r="N63" s="65" t="e">
        <f t="shared" si="43"/>
        <v>#REF!</v>
      </c>
      <c r="O63" s="65" t="e">
        <f t="shared" si="43"/>
        <v>#REF!</v>
      </c>
      <c r="P63" s="65" t="e">
        <f t="shared" si="43"/>
        <v>#REF!</v>
      </c>
      <c r="Q63" s="65" t="e">
        <f t="shared" si="43"/>
        <v>#REF!</v>
      </c>
      <c r="R63" s="65" t="e">
        <f t="shared" si="43"/>
        <v>#REF!</v>
      </c>
      <c r="S63" s="65" t="e">
        <f t="shared" ref="S63:T63" si="44">S61+S62</f>
        <v>#REF!</v>
      </c>
      <c r="T63" s="65" t="e">
        <f t="shared" si="44"/>
        <v>#REF!</v>
      </c>
      <c r="U63" s="65" t="e">
        <f t="shared" si="43"/>
        <v>#REF!</v>
      </c>
      <c r="V63" s="65" t="e">
        <f t="shared" si="43"/>
        <v>#REF!</v>
      </c>
      <c r="W63" s="65" t="e">
        <f t="shared" si="43"/>
        <v>#REF!</v>
      </c>
      <c r="X63" s="65" t="e">
        <f t="shared" si="43"/>
        <v>#REF!</v>
      </c>
      <c r="Y63" s="65">
        <f t="shared" si="43"/>
        <v>0</v>
      </c>
      <c r="AA63" s="65" t="e">
        <f>$K63*#REF!/12</f>
        <v>#REF!</v>
      </c>
      <c r="AB63" s="60" t="e">
        <f t="shared" si="41"/>
        <v>#REF!</v>
      </c>
      <c r="AD63" s="65" t="e">
        <f>$L63*#REF!/12</f>
        <v>#REF!</v>
      </c>
      <c r="AE63" s="60" t="e">
        <f t="shared" si="42"/>
        <v>#REF!</v>
      </c>
    </row>
    <row r="64" spans="1:33" s="36" customFormat="1" ht="18" hidden="1" customHeight="1" outlineLevel="1" x14ac:dyDescent="0.2">
      <c r="A64" s="30" t="s">
        <v>131</v>
      </c>
      <c r="B64" s="30" t="s">
        <v>17</v>
      </c>
      <c r="C64" s="4" t="e">
        <f t="shared" si="39"/>
        <v>#REF!</v>
      </c>
      <c r="D64" s="4" t="e">
        <f t="shared" si="40"/>
        <v>#REF!</v>
      </c>
      <c r="E64" s="8"/>
      <c r="F64" s="38" t="s">
        <v>132</v>
      </c>
      <c r="G64" s="16"/>
      <c r="H64" s="66">
        <f>_xll.GetCtData("PKAMOUNT","AMOUNT",$A$1:$A$3,$A64:$B64,H$3:H$5,"#")</f>
        <v>0</v>
      </c>
      <c r="I64" s="66">
        <f>_xll.GetCtData("PKAMOUNT","AMOUNT",$A$1:$A$3,$A64:$B64,I$3:I$5,"#")</f>
        <v>0</v>
      </c>
      <c r="J64" s="66">
        <f>_xll.GetCtData("PKAMOUNT","AMOUNT",$A$1:$A$3,$A64:$B64,J$3:J$5,"#")</f>
        <v>0</v>
      </c>
      <c r="K64" s="86">
        <f>_xll.GetCtData("PKAMOUNT","AMOUNT",$A$1:$A$3,$A64:$B64,K$3:K$5,"#")</f>
        <v>0</v>
      </c>
      <c r="L64" s="86">
        <f>_xll.GetCtData("PKAMOUNT","AMOUNT",$A$1:$A$3,$A64:$B64,L$3:L$5,"#")</f>
        <v>0</v>
      </c>
      <c r="M64" s="66">
        <f>_xll.GetCtData("PKAMOUNT","AMOUNT",$A$1:$A$3,$A64:$B64,M$3:M$5,"#")</f>
        <v>0</v>
      </c>
      <c r="N64" s="66" t="e">
        <f>IF(N$1&lt;=#REF!,_xll.GetCtData("PKAMOUNT","AMOUNT",$A$1:$A$3,$A64:$B64,N$3:N$5,"#")-SUM($M64:M64),0)</f>
        <v>#REF!</v>
      </c>
      <c r="O64" s="66" t="e">
        <f>IF(O$1&lt;=#REF!,_xll.GetCtData("PKAMOUNT","AMOUNT",$A$1:$A$3,$A64:$B64,O$3:O$5,"#")-SUM($M64:N64),0)</f>
        <v>#REF!</v>
      </c>
      <c r="P64" s="66" t="e">
        <f>IF(P$1&lt;=#REF!,_xll.GetCtData("PKAMOUNT","AMOUNT",$A$1:$A$3,$A64:$B64,P$3:P$5,"#")-SUM($M64:O64),0)</f>
        <v>#REF!</v>
      </c>
      <c r="Q64" s="66" t="e">
        <f>IF(Q$1&lt;=#REF!,_xll.GetCtData("PKAMOUNT","AMOUNT",$A$1:$A$3,$A64:$B64,Q$3:Q$5,"#")-SUM($M64:P64),0)</f>
        <v>#REF!</v>
      </c>
      <c r="R64" s="66" t="e">
        <f>IF(R$1&lt;=#REF!,_xll.GetCtData("PKAMOUNT","AMOUNT",$A$1:$A$3,$A64:$B64,R$3:R$5,"#")-SUM($M64:Q64),0)</f>
        <v>#REF!</v>
      </c>
      <c r="S64" s="66" t="e">
        <f>IF(S$1&lt;=#REF!,_xll.GetCtData("PKAMOUNT","AMOUNT",$A$1:$A$3,$A64:$B64,S$3:S$5,"#")-SUM($M64:R64),0)</f>
        <v>#REF!</v>
      </c>
      <c r="T64" s="66" t="e">
        <f>IF(T$1&lt;=#REF!,_xll.GetCtData("PKAMOUNT","AMOUNT",$A$1:$A$3,$A64:$B64,T$3:T$5,"#")-SUM($M64:S64),0)</f>
        <v>#REF!</v>
      </c>
      <c r="U64" s="66" t="e">
        <f>IF(U$1&lt;=#REF!,_xll.GetCtData("PKAMOUNT","AMOUNT",$A$1:$A$3,$A64:$B64,U$3:U$5,"#")-SUM($M64:T64),0)</f>
        <v>#REF!</v>
      </c>
      <c r="V64" s="66" t="e">
        <f>IF(V$1&lt;=#REF!,_xll.GetCtData("PKAMOUNT","AMOUNT",$A$1:$A$3,$A64:$B64,V$3:V$5,"#")-SUM($M64:U64),0)</f>
        <v>#REF!</v>
      </c>
      <c r="W64" s="66" t="e">
        <f>IF(W$1&lt;=#REF!,_xll.GetCtData("PKAMOUNT","AMOUNT",$A$1:$A$3,$A64:$B64,W$3:W$5,"#")-SUM($M64:V64),0)</f>
        <v>#REF!</v>
      </c>
      <c r="X64" s="66" t="e">
        <f>IF(X$1&lt;=#REF!,_xll.GetCtData("PKAMOUNT","AMOUNT",$A$1:$A$3,$A64:$B64,X$3:X$5,"#")-SUM($M64:W64),0)</f>
        <v>#REF!</v>
      </c>
      <c r="Y64" s="66">
        <f>_xll.GetCtData("PKAMOUNT","AMOUNT",$A$1:$A$3,$A64:$B64,Y$3:Y$5,"#")</f>
        <v>0</v>
      </c>
      <c r="Z64" s="34"/>
      <c r="AA64" s="66" t="e">
        <f>$K64*#REF!/12</f>
        <v>#REF!</v>
      </c>
      <c r="AB64" s="60" t="e">
        <f t="shared" si="41"/>
        <v>#REF!</v>
      </c>
      <c r="AC64" s="34"/>
      <c r="AD64" s="66" t="e">
        <f>$L64*#REF!/12</f>
        <v>#REF!</v>
      </c>
      <c r="AE64" s="60" t="e">
        <f t="shared" si="42"/>
        <v>#REF!</v>
      </c>
    </row>
    <row r="65" spans="1:31" s="36" customFormat="1" ht="18" hidden="1" customHeight="1" outlineLevel="1" x14ac:dyDescent="0.2">
      <c r="A65" s="30" t="s">
        <v>134</v>
      </c>
      <c r="B65" s="30" t="s">
        <v>17</v>
      </c>
      <c r="C65" s="4" t="e">
        <f t="shared" si="39"/>
        <v>#REF!</v>
      </c>
      <c r="D65" s="4" t="e">
        <f t="shared" si="40"/>
        <v>#REF!</v>
      </c>
      <c r="E65" s="8"/>
      <c r="F65" s="38" t="s">
        <v>133</v>
      </c>
      <c r="G65" s="16"/>
      <c r="H65" s="66">
        <f>_xll.GetCtData("PKAMOUNT","AMOUNT",$A$1:$A$3,$A65:$B65,H$3:H$5,"#")</f>
        <v>0</v>
      </c>
      <c r="I65" s="66">
        <f>_xll.GetCtData("PKAMOUNT","AMOUNT",$A$1:$A$3,$A65:$B65,I$3:I$5,"#")</f>
        <v>0</v>
      </c>
      <c r="J65" s="66">
        <f>_xll.GetCtData("PKAMOUNT","AMOUNT",$A$1:$A$3,$A65:$B65,J$3:J$5,"#")</f>
        <v>0</v>
      </c>
      <c r="K65" s="86">
        <f>_xll.GetCtData("PKAMOUNT","AMOUNT",$A$1:$A$3,$A65:$B65,K$3:K$5,"#")</f>
        <v>0</v>
      </c>
      <c r="L65" s="86">
        <f>_xll.GetCtData("PKAMOUNT","AMOUNT",$A$1:$A$3,$A65:$B65,L$3:L$5,"#")</f>
        <v>0</v>
      </c>
      <c r="M65" s="66">
        <f>_xll.GetCtData("PKAMOUNT","AMOUNT",$A$1:$A$3,$A65:$B65,M$3:M$5,"#")</f>
        <v>0</v>
      </c>
      <c r="N65" s="66" t="e">
        <f>IF(N$1&lt;=#REF!,_xll.GetCtData("PKAMOUNT","AMOUNT",$A$1:$A$3,$A65:$B65,N$3:N$5,"#")-SUM($M65:M65),0)</f>
        <v>#REF!</v>
      </c>
      <c r="O65" s="66" t="e">
        <f>IF(O$1&lt;=#REF!,_xll.GetCtData("PKAMOUNT","AMOUNT",$A$1:$A$3,$A65:$B65,O$3:O$5,"#")-SUM($M65:N65),0)</f>
        <v>#REF!</v>
      </c>
      <c r="P65" s="66" t="e">
        <f>IF(P$1&lt;=#REF!,_xll.GetCtData("PKAMOUNT","AMOUNT",$A$1:$A$3,$A65:$B65,P$3:P$5,"#")-SUM($M65:O65),0)</f>
        <v>#REF!</v>
      </c>
      <c r="Q65" s="66" t="e">
        <f>IF(Q$1&lt;=#REF!,_xll.GetCtData("PKAMOUNT","AMOUNT",$A$1:$A$3,$A65:$B65,Q$3:Q$5,"#")-SUM($M65:P65),0)</f>
        <v>#REF!</v>
      </c>
      <c r="R65" s="66" t="e">
        <f>IF(R$1&lt;=#REF!,_xll.GetCtData("PKAMOUNT","AMOUNT",$A$1:$A$3,$A65:$B65,R$3:R$5,"#")-SUM($M65:Q65),0)</f>
        <v>#REF!</v>
      </c>
      <c r="S65" s="66" t="e">
        <f>IF(S$1&lt;=#REF!,_xll.GetCtData("PKAMOUNT","AMOUNT",$A$1:$A$3,$A65:$B65,S$3:S$5,"#")-SUM($M65:R65),0)</f>
        <v>#REF!</v>
      </c>
      <c r="T65" s="66" t="e">
        <f>IF(T$1&lt;=#REF!,_xll.GetCtData("PKAMOUNT","AMOUNT",$A$1:$A$3,$A65:$B65,T$3:T$5,"#")-SUM($M65:S65),0)</f>
        <v>#REF!</v>
      </c>
      <c r="U65" s="66" t="e">
        <f>IF(U$1&lt;=#REF!,_xll.GetCtData("PKAMOUNT","AMOUNT",$A$1:$A$3,$A65:$B65,U$3:U$5,"#")-SUM($M65:T65),0)</f>
        <v>#REF!</v>
      </c>
      <c r="V65" s="66" t="e">
        <f>IF(V$1&lt;=#REF!,_xll.GetCtData("PKAMOUNT","AMOUNT",$A$1:$A$3,$A65:$B65,V$3:V$5,"#")-SUM($M65:U65),0)</f>
        <v>#REF!</v>
      </c>
      <c r="W65" s="66" t="e">
        <f>IF(W$1&lt;=#REF!,_xll.GetCtData("PKAMOUNT","AMOUNT",$A$1:$A$3,$A65:$B65,W$3:W$5,"#")-SUM($M65:V65),0)</f>
        <v>#REF!</v>
      </c>
      <c r="X65" s="66" t="e">
        <f>IF(X$1&lt;=#REF!,_xll.GetCtData("PKAMOUNT","AMOUNT",$A$1:$A$3,$A65:$B65,X$3:X$5,"#")-SUM($M65:W65),0)</f>
        <v>#REF!</v>
      </c>
      <c r="Y65" s="66">
        <f>_xll.GetCtData("PKAMOUNT","AMOUNT",$A$1:$A$3,$A65:$B65,Y$3:Y$5,"#")</f>
        <v>0</v>
      </c>
      <c r="Z65" s="34"/>
      <c r="AA65" s="66" t="e">
        <f>$K65*#REF!/12</f>
        <v>#REF!</v>
      </c>
      <c r="AB65" s="60" t="e">
        <f t="shared" si="41"/>
        <v>#REF!</v>
      </c>
      <c r="AC65" s="34"/>
      <c r="AD65" s="66" t="e">
        <f>$L65*#REF!/12</f>
        <v>#REF!</v>
      </c>
      <c r="AE65" s="60" t="e">
        <f t="shared" si="42"/>
        <v>#REF!</v>
      </c>
    </row>
    <row r="66" spans="1:31" s="36" customFormat="1" ht="18" hidden="1" customHeight="1" outlineLevel="1" x14ac:dyDescent="0.2">
      <c r="A66" s="30" t="s">
        <v>135</v>
      </c>
      <c r="B66" s="30" t="s">
        <v>17</v>
      </c>
      <c r="C66" s="4" t="e">
        <f t="shared" si="39"/>
        <v>#REF!</v>
      </c>
      <c r="D66" s="4" t="e">
        <f t="shared" si="40"/>
        <v>#REF!</v>
      </c>
      <c r="E66" s="8"/>
      <c r="F66" s="38" t="s">
        <v>136</v>
      </c>
      <c r="G66" s="16"/>
      <c r="H66" s="66">
        <f>_xll.GetCtData("PKAMOUNT","AMOUNT",$A$1:$A$3,$A66:$B66,H$3:H$5,"#")</f>
        <v>0</v>
      </c>
      <c r="I66" s="66">
        <f>_xll.GetCtData("PKAMOUNT","AMOUNT",$A$1:$A$3,$A66:$B66,I$3:I$5,"#")</f>
        <v>0</v>
      </c>
      <c r="J66" s="66">
        <f>_xll.GetCtData("PKAMOUNT","AMOUNT",$A$1:$A$3,$A66:$B66,J$3:J$5,"#")</f>
        <v>0</v>
      </c>
      <c r="K66" s="86">
        <f>_xll.GetCtData("PKAMOUNT","AMOUNT",$A$1:$A$3,$A66:$B66,K$3:K$5,"#")</f>
        <v>0</v>
      </c>
      <c r="L66" s="86">
        <f>_xll.GetCtData("PKAMOUNT","AMOUNT",$A$1:$A$3,$A66:$B66,L$3:L$5,"#")</f>
        <v>0</v>
      </c>
      <c r="M66" s="66">
        <f>_xll.GetCtData("PKAMOUNT","AMOUNT",$A$1:$A$3,$A66:$B66,M$3:M$5,"#")</f>
        <v>0</v>
      </c>
      <c r="N66" s="66" t="e">
        <f>IF(N$1&lt;=#REF!,_xll.GetCtData("PKAMOUNT","AMOUNT",$A$1:$A$3,$A66:$B66,N$3:N$5,"#")-SUM($M66:M66),0)</f>
        <v>#REF!</v>
      </c>
      <c r="O66" s="66" t="e">
        <f>IF(O$1&lt;=#REF!,_xll.GetCtData("PKAMOUNT","AMOUNT",$A$1:$A$3,$A66:$B66,O$3:O$5,"#")-SUM($M66:N66),0)</f>
        <v>#REF!</v>
      </c>
      <c r="P66" s="66" t="e">
        <f>IF(P$1&lt;=#REF!,_xll.GetCtData("PKAMOUNT","AMOUNT",$A$1:$A$3,$A66:$B66,P$3:P$5,"#")-SUM($M66:O66),0)</f>
        <v>#REF!</v>
      </c>
      <c r="Q66" s="66" t="e">
        <f>IF(Q$1&lt;=#REF!,_xll.GetCtData("PKAMOUNT","AMOUNT",$A$1:$A$3,$A66:$B66,Q$3:Q$5,"#")-SUM($M66:P66),0)</f>
        <v>#REF!</v>
      </c>
      <c r="R66" s="66" t="e">
        <f>IF(R$1&lt;=#REF!,_xll.GetCtData("PKAMOUNT","AMOUNT",$A$1:$A$3,$A66:$B66,R$3:R$5,"#")-SUM($M66:Q66),0)</f>
        <v>#REF!</v>
      </c>
      <c r="S66" s="66" t="e">
        <f>IF(S$1&lt;=#REF!,_xll.GetCtData("PKAMOUNT","AMOUNT",$A$1:$A$3,$A66:$B66,S$3:S$5,"#")-SUM($M66:R66),0)</f>
        <v>#REF!</v>
      </c>
      <c r="T66" s="66" t="e">
        <f>IF(T$1&lt;=#REF!,_xll.GetCtData("PKAMOUNT","AMOUNT",$A$1:$A$3,$A66:$B66,T$3:T$5,"#")-SUM($M66:S66),0)</f>
        <v>#REF!</v>
      </c>
      <c r="U66" s="66" t="e">
        <f>IF(U$1&lt;=#REF!,_xll.GetCtData("PKAMOUNT","AMOUNT",$A$1:$A$3,$A66:$B66,U$3:U$5,"#")-SUM($M66:T66),0)</f>
        <v>#REF!</v>
      </c>
      <c r="V66" s="66" t="e">
        <f>IF(V$1&lt;=#REF!,_xll.GetCtData("PKAMOUNT","AMOUNT",$A$1:$A$3,$A66:$B66,V$3:V$5,"#")-SUM($M66:U66),0)</f>
        <v>#REF!</v>
      </c>
      <c r="W66" s="66" t="e">
        <f>IF(W$1&lt;=#REF!,_xll.GetCtData("PKAMOUNT","AMOUNT",$A$1:$A$3,$A66:$B66,W$3:W$5,"#")-SUM($M66:V66),0)</f>
        <v>#REF!</v>
      </c>
      <c r="X66" s="66" t="e">
        <f>IF(X$1&lt;=#REF!,_xll.GetCtData("PKAMOUNT","AMOUNT",$A$1:$A$3,$A66:$B66,X$3:X$5,"#")-SUM($M66:W66),0)</f>
        <v>#REF!</v>
      </c>
      <c r="Y66" s="66">
        <f>_xll.GetCtData("PKAMOUNT","AMOUNT",$A$1:$A$3,$A66:$B66,Y$3:Y$5,"#")</f>
        <v>0</v>
      </c>
      <c r="Z66" s="34"/>
      <c r="AA66" s="66" t="e">
        <f>$K66*#REF!/12</f>
        <v>#REF!</v>
      </c>
      <c r="AB66" s="60" t="e">
        <f t="shared" si="41"/>
        <v>#REF!</v>
      </c>
      <c r="AC66" s="34"/>
      <c r="AD66" s="66" t="e">
        <f>$L66*#REF!/12</f>
        <v>#REF!</v>
      </c>
      <c r="AE66" s="60" t="e">
        <f t="shared" si="42"/>
        <v>#REF!</v>
      </c>
    </row>
    <row r="67" spans="1:31" s="36" customFormat="1" ht="18" hidden="1" customHeight="1" outlineLevel="1" x14ac:dyDescent="0.2">
      <c r="A67" s="30" t="s">
        <v>137</v>
      </c>
      <c r="B67" s="30" t="s">
        <v>17</v>
      </c>
      <c r="C67" s="4" t="e">
        <f t="shared" si="39"/>
        <v>#REF!</v>
      </c>
      <c r="D67" s="4" t="e">
        <f t="shared" si="40"/>
        <v>#REF!</v>
      </c>
      <c r="E67" s="8"/>
      <c r="F67" s="38" t="s">
        <v>138</v>
      </c>
      <c r="G67" s="16"/>
      <c r="H67" s="66">
        <f>_xll.GetCtData("PKAMOUNT","AMOUNT",$A$1:$A$3,$A67:$B67,H$3:H$5,"#")</f>
        <v>0</v>
      </c>
      <c r="I67" s="66">
        <f>_xll.GetCtData("PKAMOUNT","AMOUNT",$A$1:$A$3,$A67:$B67,I$3:I$5,"#")</f>
        <v>0</v>
      </c>
      <c r="J67" s="66">
        <f>_xll.GetCtData("PKAMOUNT","AMOUNT",$A$1:$A$3,$A67:$B67,J$3:J$5,"#")</f>
        <v>0</v>
      </c>
      <c r="K67" s="86">
        <f>_xll.GetCtData("PKAMOUNT","AMOUNT",$A$1:$A$3,$A67:$B67,K$3:K$5,"#")</f>
        <v>0</v>
      </c>
      <c r="L67" s="86">
        <f>_xll.GetCtData("PKAMOUNT","AMOUNT",$A$1:$A$3,$A67:$B67,L$3:L$5,"#")</f>
        <v>0</v>
      </c>
      <c r="M67" s="66">
        <f>_xll.GetCtData("PKAMOUNT","AMOUNT",$A$1:$A$3,$A67:$B67,M$3:M$5,"#")</f>
        <v>0</v>
      </c>
      <c r="N67" s="66" t="e">
        <f>IF(N$1&lt;=#REF!,_xll.GetCtData("PKAMOUNT","AMOUNT",$A$1:$A$3,$A67:$B67,N$3:N$5,"#")-SUM($M67:M67),0)</f>
        <v>#REF!</v>
      </c>
      <c r="O67" s="66" t="e">
        <f>IF(O$1&lt;=#REF!,_xll.GetCtData("PKAMOUNT","AMOUNT",$A$1:$A$3,$A67:$B67,O$3:O$5,"#")-SUM($M67:N67),0)</f>
        <v>#REF!</v>
      </c>
      <c r="P67" s="66" t="e">
        <f>IF(P$1&lt;=#REF!,_xll.GetCtData("PKAMOUNT","AMOUNT",$A$1:$A$3,$A67:$B67,P$3:P$5,"#")-SUM($M67:O67),0)</f>
        <v>#REF!</v>
      </c>
      <c r="Q67" s="66" t="e">
        <f>IF(Q$1&lt;=#REF!,_xll.GetCtData("PKAMOUNT","AMOUNT",$A$1:$A$3,$A67:$B67,Q$3:Q$5,"#")-SUM($M67:P67),0)</f>
        <v>#REF!</v>
      </c>
      <c r="R67" s="66" t="e">
        <f>IF(R$1&lt;=#REF!,_xll.GetCtData("PKAMOUNT","AMOUNT",$A$1:$A$3,$A67:$B67,R$3:R$5,"#")-SUM($M67:Q67),0)</f>
        <v>#REF!</v>
      </c>
      <c r="S67" s="66" t="e">
        <f>IF(S$1&lt;=#REF!,_xll.GetCtData("PKAMOUNT","AMOUNT",$A$1:$A$3,$A67:$B67,S$3:S$5,"#")-SUM($M67:R67),0)</f>
        <v>#REF!</v>
      </c>
      <c r="T67" s="66" t="e">
        <f>IF(T$1&lt;=#REF!,_xll.GetCtData("PKAMOUNT","AMOUNT",$A$1:$A$3,$A67:$B67,T$3:T$5,"#")-SUM($M67:S67),0)</f>
        <v>#REF!</v>
      </c>
      <c r="U67" s="66" t="e">
        <f>IF(U$1&lt;=#REF!,_xll.GetCtData("PKAMOUNT","AMOUNT",$A$1:$A$3,$A67:$B67,U$3:U$5,"#")-SUM($M67:T67),0)</f>
        <v>#REF!</v>
      </c>
      <c r="V67" s="66" t="e">
        <f>IF(V$1&lt;=#REF!,_xll.GetCtData("PKAMOUNT","AMOUNT",$A$1:$A$3,$A67:$B67,V$3:V$5,"#")-SUM($M67:U67),0)</f>
        <v>#REF!</v>
      </c>
      <c r="W67" s="66" t="e">
        <f>IF(W$1&lt;=#REF!,_xll.GetCtData("PKAMOUNT","AMOUNT",$A$1:$A$3,$A67:$B67,W$3:W$5,"#")-SUM($M67:V67),0)</f>
        <v>#REF!</v>
      </c>
      <c r="X67" s="66" t="e">
        <f>IF(X$1&lt;=#REF!,_xll.GetCtData("PKAMOUNT","AMOUNT",$A$1:$A$3,$A67:$B67,X$3:X$5,"#")-SUM($M67:W67),0)</f>
        <v>#REF!</v>
      </c>
      <c r="Y67" s="66">
        <f>_xll.GetCtData("PKAMOUNT","AMOUNT",$A$1:$A$3,$A67:$B67,Y$3:Y$5,"#")</f>
        <v>0</v>
      </c>
      <c r="Z67" s="34"/>
      <c r="AA67" s="66" t="e">
        <f>$K67*#REF!/12</f>
        <v>#REF!</v>
      </c>
      <c r="AB67" s="60" t="e">
        <f t="shared" si="41"/>
        <v>#REF!</v>
      </c>
      <c r="AC67" s="34"/>
      <c r="AD67" s="66" t="e">
        <f>$L67*#REF!/12</f>
        <v>#REF!</v>
      </c>
      <c r="AE67" s="60" t="e">
        <f t="shared" si="42"/>
        <v>#REF!</v>
      </c>
    </row>
    <row r="68" spans="1:31" s="37" customFormat="1" ht="18" customHeight="1" collapsed="1" x14ac:dyDescent="0.2">
      <c r="A68" s="35"/>
      <c r="B68" s="35"/>
      <c r="C68" s="4" t="e">
        <f t="shared" si="39"/>
        <v>#REF!</v>
      </c>
      <c r="D68" s="4" t="e">
        <f t="shared" si="40"/>
        <v>#REF!</v>
      </c>
      <c r="E68" s="8"/>
      <c r="F68" s="105" t="s">
        <v>274</v>
      </c>
      <c r="G68" s="16"/>
      <c r="H68" s="67">
        <f t="shared" ref="H68:Y68" si="45">H64+H65+H66+H67</f>
        <v>0</v>
      </c>
      <c r="I68" s="67">
        <f t="shared" si="45"/>
        <v>0</v>
      </c>
      <c r="J68" s="67">
        <f t="shared" si="45"/>
        <v>0</v>
      </c>
      <c r="K68" s="67">
        <f t="shared" si="45"/>
        <v>0</v>
      </c>
      <c r="L68" s="67">
        <f t="shared" si="45"/>
        <v>0</v>
      </c>
      <c r="M68" s="67">
        <f t="shared" si="45"/>
        <v>0</v>
      </c>
      <c r="N68" s="67" t="e">
        <f t="shared" si="45"/>
        <v>#REF!</v>
      </c>
      <c r="O68" s="67" t="e">
        <f t="shared" si="45"/>
        <v>#REF!</v>
      </c>
      <c r="P68" s="67" t="e">
        <f t="shared" si="45"/>
        <v>#REF!</v>
      </c>
      <c r="Q68" s="67" t="e">
        <f t="shared" si="45"/>
        <v>#REF!</v>
      </c>
      <c r="R68" s="67" t="e">
        <f t="shared" si="45"/>
        <v>#REF!</v>
      </c>
      <c r="S68" s="67" t="e">
        <f t="shared" ref="S68:T68" si="46">S64+S65+S66+S67</f>
        <v>#REF!</v>
      </c>
      <c r="T68" s="67" t="e">
        <f t="shared" si="46"/>
        <v>#REF!</v>
      </c>
      <c r="U68" s="67" t="e">
        <f t="shared" si="45"/>
        <v>#REF!</v>
      </c>
      <c r="V68" s="67" t="e">
        <f t="shared" si="45"/>
        <v>#REF!</v>
      </c>
      <c r="W68" s="67" t="e">
        <f t="shared" si="45"/>
        <v>#REF!</v>
      </c>
      <c r="X68" s="67" t="e">
        <f t="shared" si="45"/>
        <v>#REF!</v>
      </c>
      <c r="Y68" s="67">
        <f t="shared" si="45"/>
        <v>0</v>
      </c>
      <c r="AA68" s="67" t="e">
        <f>$K68*#REF!/12</f>
        <v>#REF!</v>
      </c>
      <c r="AB68" s="60" t="e">
        <f t="shared" si="41"/>
        <v>#REF!</v>
      </c>
      <c r="AD68" s="67" t="e">
        <f>$L68*#REF!/12</f>
        <v>#REF!</v>
      </c>
      <c r="AE68" s="60" t="e">
        <f t="shared" si="42"/>
        <v>#REF!</v>
      </c>
    </row>
    <row r="69" spans="1:31" ht="6.95" customHeight="1" x14ac:dyDescent="0.2">
      <c r="C69" s="4"/>
      <c r="D69" s="4"/>
      <c r="F69" s="96"/>
      <c r="G69" s="16"/>
      <c r="H69" s="16"/>
      <c r="I69" s="16"/>
      <c r="J69" s="16"/>
      <c r="K69" s="85"/>
      <c r="L69" s="85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AA69" s="16"/>
      <c r="AB69" s="20"/>
      <c r="AD69" s="16"/>
      <c r="AE69" s="20"/>
    </row>
    <row r="70" spans="1:31" ht="18" customHeight="1" x14ac:dyDescent="0.2">
      <c r="A70" s="30" t="s">
        <v>206</v>
      </c>
      <c r="B70" s="30" t="s">
        <v>38</v>
      </c>
      <c r="C70" s="4" t="e">
        <f>IF(AND($Y70=0,AA70=0),0,IF(AA70=0,IF($Y70&gt;=0,AB70/$Y70,-AB70/$Y70),IF(AA70&gt;=0,AB70/AA70,-AB70/AA70)))</f>
        <v>#REF!</v>
      </c>
      <c r="D70" s="4" t="e">
        <f>IF(AND($Y70=0,AD70=0),0,IF(AD70=0,IF($Y70&gt;=0,AE70/$Y70,-AE70/$Y70),IF(AD70&gt;=0,AE70/AD70,-AE70/AD70)))</f>
        <v>#REF!</v>
      </c>
      <c r="F70" s="106" t="s">
        <v>377</v>
      </c>
      <c r="H70" s="61">
        <f>-_xll.GetCtData("PKAMOUNT","AMOUNT",$A$1:$A$3,$A70:$B70,H$3:H$5,"#")</f>
        <v>0</v>
      </c>
      <c r="I70" s="61">
        <f>-_xll.GetCtData("PKAMOUNT","AMOUNT",$A$1:$A$3,$A70:$B70,I$3:I$5,"#")</f>
        <v>0</v>
      </c>
      <c r="J70" s="61">
        <f>-_xll.GetCtData("PKAMOUNT","AMOUNT",$A$1:$A$3,$A70:$B70,J$3:J$5,"#")</f>
        <v>0</v>
      </c>
      <c r="K70" s="86">
        <f>_xll.GetCtData("PKAMOUNT","AMOUNT",$A$1:$A$3,$A70:$B70,K$3:K$5,"#")</f>
        <v>0</v>
      </c>
      <c r="L70" s="86">
        <f>_xll.GetCtData("PKAMOUNT","AMOUNT",$A$1:$A$3,$A70:$B70,L$3:L$5,"#")</f>
        <v>0</v>
      </c>
      <c r="M70" s="61">
        <f>-_xll.GetCtData("PKAMOUNT","AMOUNT",$A$1:$A$3,$A70:$B70,M$3:M$5,"#")</f>
        <v>0</v>
      </c>
      <c r="N70" s="61" t="e">
        <f>IF(N$1&lt;=#REF!,-_xll.GetCtData("PKAMOUNT","AMOUNT",$A$1:$A$3,$A70:$B70,N$3:N$5,"#")-SUM($M70:M70),0)</f>
        <v>#REF!</v>
      </c>
      <c r="O70" s="61" t="e">
        <f>IF(O$1&lt;=#REF!,-_xll.GetCtData("PKAMOUNT","AMOUNT",$A$1:$A$3,$A70:$B70,O$3:O$5,"#")-SUM($M70:N70),0)</f>
        <v>#REF!</v>
      </c>
      <c r="P70" s="61" t="e">
        <f>IF(P$1&lt;=#REF!,-_xll.GetCtData("PKAMOUNT","AMOUNT",$A$1:$A$3,$A70:$B70,P$3:P$5,"#")-SUM($M70:O70),0)</f>
        <v>#REF!</v>
      </c>
      <c r="Q70" s="61" t="e">
        <f>IF(Q$1&lt;=#REF!,-_xll.GetCtData("PKAMOUNT","AMOUNT",$A$1:$A$3,$A70:$B70,Q$3:Q$5,"#")-SUM($M70:P70),0)</f>
        <v>#REF!</v>
      </c>
      <c r="R70" s="61" t="e">
        <f>IF(R$1&lt;=#REF!,-_xll.GetCtData("PKAMOUNT","AMOUNT",$A$1:$A$3,$A70:$B70,R$3:R$5,"#")-SUM($M70:Q70),0)</f>
        <v>#REF!</v>
      </c>
      <c r="S70" s="61" t="e">
        <f>IF(S$1&lt;=#REF!,-_xll.GetCtData("PKAMOUNT","AMOUNT",$A$1:$A$3,$A70:$B70,S$3:S$5,"#")-SUM($M70:R70),0)</f>
        <v>#REF!</v>
      </c>
      <c r="T70" s="61" t="e">
        <f>IF(T$1&lt;=#REF!,-_xll.GetCtData("PKAMOUNT","AMOUNT",$A$1:$A$3,$A70:$B70,T$3:T$5,"#")-SUM($M70:S70),0)</f>
        <v>#REF!</v>
      </c>
      <c r="U70" s="61" t="e">
        <f>IF(U$1&lt;=#REF!,-_xll.GetCtData("PKAMOUNT","AMOUNT",$A$1:$A$3,$A70:$B70,U$3:U$5,"#")-SUM($M70:T70),0)</f>
        <v>#REF!</v>
      </c>
      <c r="V70" s="61" t="e">
        <f>IF(V$1&lt;=#REF!,-_xll.GetCtData("PKAMOUNT","AMOUNT",$A$1:$A$3,$A70:$B70,V$3:V$5,"#")-SUM($M70:U70),0)</f>
        <v>#REF!</v>
      </c>
      <c r="W70" s="61" t="e">
        <f>IF(W$1&lt;=#REF!,-_xll.GetCtData("PKAMOUNT","AMOUNT",$A$1:$A$3,$A70:$B70,W$3:W$5,"#")-SUM($M70:V70),0)</f>
        <v>#REF!</v>
      </c>
      <c r="X70" s="61" t="e">
        <f>IF(X$1&lt;=#REF!,-_xll.GetCtData("PKAMOUNT","AMOUNT",$A$1:$A$3,$A70:$B70,X$3:X$5,"#")-SUM($M70:W70),0)</f>
        <v>#REF!</v>
      </c>
      <c r="Y70" s="61">
        <f>-_xll.GetCtData("PKAMOUNT","AMOUNT",$A$1:$A$3,$A70:$B70,Y$3:Y$5,"#")</f>
        <v>0</v>
      </c>
      <c r="AA70" s="61" t="e">
        <f>$K70*#REF!/12</f>
        <v>#REF!</v>
      </c>
      <c r="AB70" s="60" t="e">
        <f>ROUND($Y70-AA70,2)</f>
        <v>#REF!</v>
      </c>
      <c r="AD70" s="61" t="e">
        <f>$L70*#REF!/12</f>
        <v>#REF!</v>
      </c>
      <c r="AE70" s="60" t="e">
        <f>ROUND($Y70-AD70,2)</f>
        <v>#REF!</v>
      </c>
    </row>
    <row r="71" spans="1:31" ht="18" customHeight="1" x14ac:dyDescent="0.2">
      <c r="A71" s="30" t="s">
        <v>42</v>
      </c>
      <c r="B71" s="30" t="s">
        <v>17</v>
      </c>
      <c r="C71" s="4" t="e">
        <f>IF(AND($Y71=0,AA71=0),0,IF(AA71=0,IF($Y71&gt;=0,AB71/$Y71,-AB71/$Y71),IF(AA71&gt;=0,AB71/AA71,-AB71/AA71)))</f>
        <v>#REF!</v>
      </c>
      <c r="D71" s="4" t="e">
        <f>IF(AND($Y71=0,AD71=0),0,IF(AD71=0,IF($Y71&gt;=0,AE71/$Y71,-AE71/$Y71),IF(AD71&gt;=0,AE71/AD71,-AE71/AD71)))</f>
        <v>#REF!</v>
      </c>
      <c r="F71" s="106" t="s">
        <v>207</v>
      </c>
      <c r="H71" s="61">
        <f>_xll.GetCtData("PKAMOUNT","AMOUNT",$A$1:$A$3,$A71:$B71,H$3:H$5,"#")</f>
        <v>0</v>
      </c>
      <c r="I71" s="61">
        <f>_xll.GetCtData("PKAMOUNT","AMOUNT",$A$1:$A$3,$A71:$B71,I$3:I$5,"#")</f>
        <v>0</v>
      </c>
      <c r="J71" s="61">
        <f>_xll.GetCtData("PKAMOUNT","AMOUNT",$A$1:$A$3,$A71:$B71,J$3:J$5,"#")</f>
        <v>0</v>
      </c>
      <c r="K71" s="86">
        <f>_xll.GetCtData("PKAMOUNT","AMOUNT",$A$1:$A$3,$A71:$B71,K$3:K$5,"#")</f>
        <v>0</v>
      </c>
      <c r="L71" s="86">
        <f>_xll.GetCtData("PKAMOUNT","AMOUNT",$A$1:$A$3,$A71:$B71,L$3:L$5,"#")</f>
        <v>0</v>
      </c>
      <c r="M71" s="61">
        <f>_xll.GetCtData("PKAMOUNT","AMOUNT",$A$1:$A$3,$A71:$B71,M$3:M$5,"#")</f>
        <v>0</v>
      </c>
      <c r="N71" s="61" t="e">
        <f>IF(N$1&lt;=#REF!,_xll.GetCtData("PKAMOUNT","AMOUNT",$A$1:$A$3,$A71:$B71,N$3:N$5,"#")-SUM($M71:M71),0)</f>
        <v>#REF!</v>
      </c>
      <c r="O71" s="61" t="e">
        <f>IF(O$1&lt;=#REF!,_xll.GetCtData("PKAMOUNT","AMOUNT",$A$1:$A$3,$A71:$B71,O$3:O$5,"#")-SUM($M71:N71),0)</f>
        <v>#REF!</v>
      </c>
      <c r="P71" s="61" t="e">
        <f>IF(P$1&lt;=#REF!,_xll.GetCtData("PKAMOUNT","AMOUNT",$A$1:$A$3,$A71:$B71,P$3:P$5,"#")-SUM($M71:O71),0)</f>
        <v>#REF!</v>
      </c>
      <c r="Q71" s="61" t="e">
        <f>IF(Q$1&lt;=#REF!,_xll.GetCtData("PKAMOUNT","AMOUNT",$A$1:$A$3,$A71:$B71,Q$3:Q$5,"#")-SUM($M71:P71),0)</f>
        <v>#REF!</v>
      </c>
      <c r="R71" s="61" t="e">
        <f>IF(R$1&lt;=#REF!,_xll.GetCtData("PKAMOUNT","AMOUNT",$A$1:$A$3,$A71:$B71,R$3:R$5,"#")-SUM($M71:Q71),0)</f>
        <v>#REF!</v>
      </c>
      <c r="S71" s="61" t="e">
        <f>IF(S$1&lt;=#REF!,_xll.GetCtData("PKAMOUNT","AMOUNT",$A$1:$A$3,$A71:$B71,S$3:S$5,"#")-SUM($M71:R71),0)</f>
        <v>#REF!</v>
      </c>
      <c r="T71" s="61" t="e">
        <f>IF(T$1&lt;=#REF!,_xll.GetCtData("PKAMOUNT","AMOUNT",$A$1:$A$3,$A71:$B71,T$3:T$5,"#")-SUM($M71:S71),0)</f>
        <v>#REF!</v>
      </c>
      <c r="U71" s="61" t="e">
        <f>IF(U$1&lt;=#REF!,_xll.GetCtData("PKAMOUNT","AMOUNT",$A$1:$A$3,$A71:$B71,U$3:U$5,"#")-SUM($M71:T71),0)</f>
        <v>#REF!</v>
      </c>
      <c r="V71" s="61" t="e">
        <f>IF(V$1&lt;=#REF!,_xll.GetCtData("PKAMOUNT","AMOUNT",$A$1:$A$3,$A71:$B71,V$3:V$5,"#")-SUM($M71:U71),0)</f>
        <v>#REF!</v>
      </c>
      <c r="W71" s="61" t="e">
        <f>IF(W$1&lt;=#REF!,_xll.GetCtData("PKAMOUNT","AMOUNT",$A$1:$A$3,$A71:$B71,W$3:W$5,"#")-SUM($M71:V71),0)</f>
        <v>#REF!</v>
      </c>
      <c r="X71" s="61" t="e">
        <f>IF(X$1&lt;=#REF!,_xll.GetCtData("PKAMOUNT","AMOUNT",$A$1:$A$3,$A71:$B71,X$3:X$5,"#")-SUM($M71:W71),0)</f>
        <v>#REF!</v>
      </c>
      <c r="Y71" s="61">
        <f>_xll.GetCtData("PKAMOUNT","AMOUNT",$A$1:$A$3,$A71:$B71,Y$3:Y$5,"#")</f>
        <v>0</v>
      </c>
      <c r="AA71" s="61" t="e">
        <f>$K71*#REF!/12</f>
        <v>#REF!</v>
      </c>
      <c r="AB71" s="60" t="e">
        <f>ROUND($Y71-AA71,2)</f>
        <v>#REF!</v>
      </c>
      <c r="AD71" s="61" t="e">
        <f>$L71*#REF!/12</f>
        <v>#REF!</v>
      </c>
      <c r="AE71" s="60" t="e">
        <f>ROUND($Y71-AD71,2)</f>
        <v>#REF!</v>
      </c>
    </row>
    <row r="72" spans="1:31" ht="18" customHeight="1" collapsed="1" x14ac:dyDescent="0.2">
      <c r="A72" s="35"/>
      <c r="B72" s="35"/>
      <c r="C72" s="4" t="e">
        <f>IF(AND($Y72=0,AA72=0),0,IF(AA72=0,IF($Y72&gt;=0,AB72/$Y72,-AB72/$Y72),IF(AA72&gt;=0,AB72/AA72,-AB72/AA72)))</f>
        <v>#REF!</v>
      </c>
      <c r="D72" s="4" t="e">
        <f>IF(AND($Y72=0,AD72=0),0,IF(AD72=0,IF($Y72&gt;=0,AE72/$Y72,-AE72/$Y72),IF(AD72&gt;=0,AE72/AD72,-AE72/AD72)))</f>
        <v>#REF!</v>
      </c>
      <c r="F72" s="45" t="s">
        <v>41</v>
      </c>
      <c r="H72" s="62">
        <f>H70+H71</f>
        <v>0</v>
      </c>
      <c r="I72" s="62">
        <f t="shared" ref="I72:Y72" si="47">I70+I71</f>
        <v>0</v>
      </c>
      <c r="J72" s="62">
        <f t="shared" si="47"/>
        <v>0</v>
      </c>
      <c r="K72" s="108">
        <f t="shared" si="47"/>
        <v>0</v>
      </c>
      <c r="L72" s="108">
        <f t="shared" si="47"/>
        <v>0</v>
      </c>
      <c r="M72" s="62">
        <f t="shared" si="47"/>
        <v>0</v>
      </c>
      <c r="N72" s="62" t="e">
        <f t="shared" si="47"/>
        <v>#REF!</v>
      </c>
      <c r="O72" s="62" t="e">
        <f t="shared" si="47"/>
        <v>#REF!</v>
      </c>
      <c r="P72" s="62" t="e">
        <f t="shared" si="47"/>
        <v>#REF!</v>
      </c>
      <c r="Q72" s="62" t="e">
        <f t="shared" si="47"/>
        <v>#REF!</v>
      </c>
      <c r="R72" s="62" t="e">
        <f t="shared" si="47"/>
        <v>#REF!</v>
      </c>
      <c r="S72" s="62" t="e">
        <f t="shared" ref="S72:T72" si="48">S70+S71</f>
        <v>#REF!</v>
      </c>
      <c r="T72" s="62" t="e">
        <f t="shared" si="48"/>
        <v>#REF!</v>
      </c>
      <c r="U72" s="62" t="e">
        <f t="shared" si="47"/>
        <v>#REF!</v>
      </c>
      <c r="V72" s="62" t="e">
        <f t="shared" si="47"/>
        <v>#REF!</v>
      </c>
      <c r="W72" s="62" t="e">
        <f t="shared" si="47"/>
        <v>#REF!</v>
      </c>
      <c r="X72" s="62" t="e">
        <f t="shared" si="47"/>
        <v>#REF!</v>
      </c>
      <c r="Y72" s="62">
        <f t="shared" si="47"/>
        <v>0</v>
      </c>
      <c r="AA72" s="62" t="e">
        <f>$K72*#REF!/12</f>
        <v>#REF!</v>
      </c>
      <c r="AB72" s="60" t="e">
        <f>ROUND($Y72-AA72,2)</f>
        <v>#REF!</v>
      </c>
      <c r="AD72" s="62" t="e">
        <f>$L72*#REF!/12</f>
        <v>#REF!</v>
      </c>
      <c r="AE72" s="60" t="e">
        <f>ROUND($Y72-AD72,2)</f>
        <v>#REF!</v>
      </c>
    </row>
    <row r="73" spans="1:31" ht="12.95" customHeight="1" x14ac:dyDescent="0.2">
      <c r="A73" s="35"/>
      <c r="B73" s="35"/>
      <c r="C73" s="4"/>
      <c r="D73" s="4"/>
      <c r="F73" s="39" t="s">
        <v>227</v>
      </c>
      <c r="H73" s="56">
        <f>IF((H$11+H$12+H$14+H$15)=0,0,-H72/(H$11+H$12+H$14+H$15))</f>
        <v>0</v>
      </c>
      <c r="I73" s="56">
        <f t="shared" ref="I73:M73" si="49">IF((I$11+I$12+I$14+I$15)=0,0,-I72/(I$11+I$12+I$14+I$15))</f>
        <v>0</v>
      </c>
      <c r="J73" s="56">
        <f t="shared" si="49"/>
        <v>0</v>
      </c>
      <c r="K73" s="109">
        <f t="shared" si="49"/>
        <v>0</v>
      </c>
      <c r="L73" s="109">
        <f t="shared" si="49"/>
        <v>0</v>
      </c>
      <c r="M73" s="56">
        <f t="shared" si="49"/>
        <v>0</v>
      </c>
      <c r="N73" s="56" t="e">
        <f>IF(N$1&lt;=#REF!,IF((N$11+N$12+N$14+N$15)=0,0,-N72/(N$11+N$12+N$14+N$15)),"")</f>
        <v>#REF!</v>
      </c>
      <c r="O73" s="56" t="e">
        <f>IF(O$1&lt;=#REF!,IF((O$11+O$12+O$14+O$15)=0,0,-O72/(O$11+O$12+O$14+O$15)),"")</f>
        <v>#REF!</v>
      </c>
      <c r="P73" s="56" t="e">
        <f>IF(P$1&lt;=#REF!,IF((P$11+P$12+P$14+P$15)=0,0,-P72/(P$11+P$12+P$14+P$15)),"")</f>
        <v>#REF!</v>
      </c>
      <c r="Q73" s="56" t="e">
        <f>IF(Q$1&lt;=#REF!,IF((Q$11+Q$12+Q$14+Q$15)=0,0,-Q72/(Q$11+Q$12+Q$14+Q$15)),"")</f>
        <v>#REF!</v>
      </c>
      <c r="R73" s="56" t="e">
        <f>IF(R$1&lt;=#REF!,IF((R$11+R$12+R$14+R$15)=0,0,-R72/(R$11+R$12+R$14+R$15)),"")</f>
        <v>#REF!</v>
      </c>
      <c r="S73" s="56" t="e">
        <f>IF(S$1&lt;=#REF!,IF((S$11+S$12+S$14+S$15)=0,0,-S72/(S$11+S$12+S$14+S$15)),"")</f>
        <v>#REF!</v>
      </c>
      <c r="T73" s="56" t="e">
        <f>IF(T$1&lt;=#REF!,IF((T$11+T$12+T$14+T$15)=0,0,-T72/(T$11+T$12+T$14+T$15)),"")</f>
        <v>#REF!</v>
      </c>
      <c r="U73" s="56" t="e">
        <f>IF(U$1&lt;=#REF!,IF((U$11+U$12+U$14+U$15)=0,0,-U72/(U$11+U$12+U$14+U$15)),"")</f>
        <v>#REF!</v>
      </c>
      <c r="V73" s="56" t="e">
        <f>IF(V$1&lt;=#REF!,IF((V$11+V$12+V$14+V$15)=0,0,-V72/(V$11+V$12+V$14+V$15)),"")</f>
        <v>#REF!</v>
      </c>
      <c r="W73" s="56" t="e">
        <f>IF(W$1&lt;=#REF!,IF((W$11+W$12+W$14+W$15)=0,0,-W72/(W$11+W$12+W$14+W$15)),"")</f>
        <v>#REF!</v>
      </c>
      <c r="X73" s="56" t="e">
        <f>IF(X$1&lt;=#REF!,IF((X$11+X$12+X$14+X$15)=0,0,-X72/(X$11+X$12+X$14+X$15)),"")</f>
        <v>#REF!</v>
      </c>
      <c r="Y73" s="56">
        <f>IF((Y$11+Y$12+Y$14+Y$15)=0,0,-Y72/(Y$11+Y$12+Y$14+Y$15))</f>
        <v>0</v>
      </c>
      <c r="AA73" s="56" t="e">
        <f t="shared" ref="AA73" si="50">IF((AA$11+AA$12+AA$14+AA$15)=0,0,-AA72/(AA$11+AA$12+AA$14+AA$15))</f>
        <v>#REF!</v>
      </c>
      <c r="AB73" s="57"/>
      <c r="AD73" s="56" t="e">
        <f t="shared" ref="AD73" si="51">IF((AD$11+AD$12+AD$14+AD$15)=0,0,-AD72/(AD$11+AD$12+AD$14+AD$15))</f>
        <v>#REF!</v>
      </c>
      <c r="AE73" s="57"/>
    </row>
    <row r="74" spans="1:31" ht="18" customHeight="1" x14ac:dyDescent="0.2">
      <c r="A74" s="30" t="s">
        <v>39</v>
      </c>
      <c r="B74" s="30" t="s">
        <v>17</v>
      </c>
      <c r="C74" s="4" t="e">
        <f>IF(AND($Y74=0,AA74=0),0,IF(AA74=0,IF($Y74&gt;=0,AB74/$Y74,-AB74/$Y74),IF(AA74&gt;=0,AB74/AA74,-AB74/AA74)))</f>
        <v>#REF!</v>
      </c>
      <c r="D74" s="4" t="e">
        <f>IF(AND($Y74=0,AD74=0),0,IF(AD74=0,IF($Y74&gt;=0,AE74/$Y74,-AE74/$Y74),IF(AD74&gt;=0,AE74/AD74,-AE74/AD74)))</f>
        <v>#REF!</v>
      </c>
      <c r="F74" s="45" t="s">
        <v>40</v>
      </c>
      <c r="H74" s="62">
        <f>_xll.GetCtData("PKAMOUNT","AMOUNT",$A$1:$A$3,$A74:$B74,H$3:H$5,"#")</f>
        <v>0</v>
      </c>
      <c r="I74" s="62">
        <f>_xll.GetCtData("PKAMOUNT","AMOUNT",$A$1:$A$3,$A74:$B74,I$3:I$5,"#")</f>
        <v>0</v>
      </c>
      <c r="J74" s="62">
        <f>_xll.GetCtData("PKAMOUNT","AMOUNT",$A$1:$A$3,$A74:$B74,J$3:J$5,"#")</f>
        <v>0</v>
      </c>
      <c r="K74" s="108">
        <f>_xll.GetCtData("PKAMOUNT","AMOUNT",$A$1:$A$3,$A74:$B74,K$3:K$5,"#")</f>
        <v>0</v>
      </c>
      <c r="L74" s="108">
        <f>_xll.GetCtData("PKAMOUNT","AMOUNT",$A$1:$A$3,$A74:$B74,L$3:L$5,"#")</f>
        <v>0</v>
      </c>
      <c r="M74" s="62">
        <f>_xll.GetCtData("PKAMOUNT","AMOUNT",$A$1:$A$3,$A74:$B74,M$3:M$5,"#")</f>
        <v>0</v>
      </c>
      <c r="N74" s="62" t="e">
        <f>IF(N$1&lt;=#REF!,_xll.GetCtData("PKAMOUNT","AMOUNT",$A$1:$A$3,$A74:$B74,N$3:N$5,"#")-SUM($M74:M74),0)</f>
        <v>#REF!</v>
      </c>
      <c r="O74" s="62" t="e">
        <f>IF(O$1&lt;=#REF!,_xll.GetCtData("PKAMOUNT","AMOUNT",$A$1:$A$3,$A74:$B74,O$3:O$5,"#")-SUM($M74:N74),0)</f>
        <v>#REF!</v>
      </c>
      <c r="P74" s="62" t="e">
        <f>IF(P$1&lt;=#REF!,_xll.GetCtData("PKAMOUNT","AMOUNT",$A$1:$A$3,$A74:$B74,P$3:P$5,"#")-SUM($M74:O74),0)</f>
        <v>#REF!</v>
      </c>
      <c r="Q74" s="62" t="e">
        <f>IF(Q$1&lt;=#REF!,_xll.GetCtData("PKAMOUNT","AMOUNT",$A$1:$A$3,$A74:$B74,Q$3:Q$5,"#")-SUM($M74:P74),0)</f>
        <v>#REF!</v>
      </c>
      <c r="R74" s="62" t="e">
        <f>IF(R$1&lt;=#REF!,_xll.GetCtData("PKAMOUNT","AMOUNT",$A$1:$A$3,$A74:$B74,R$3:R$5,"#")-SUM($M74:Q74),0)</f>
        <v>#REF!</v>
      </c>
      <c r="S74" s="62" t="e">
        <f>IF(S$1&lt;=#REF!,_xll.GetCtData("PKAMOUNT","AMOUNT",$A$1:$A$3,$A74:$B74,S$3:S$5,"#")-SUM($M74:R74),0)</f>
        <v>#REF!</v>
      </c>
      <c r="T74" s="62" t="e">
        <f>IF(T$1&lt;=#REF!,_xll.GetCtData("PKAMOUNT","AMOUNT",$A$1:$A$3,$A74:$B74,T$3:T$5,"#")-SUM($M74:S74),0)</f>
        <v>#REF!</v>
      </c>
      <c r="U74" s="62" t="e">
        <f>IF(U$1&lt;=#REF!,_xll.GetCtData("PKAMOUNT","AMOUNT",$A$1:$A$3,$A74:$B74,U$3:U$5,"#")-SUM($M74:T74),0)</f>
        <v>#REF!</v>
      </c>
      <c r="V74" s="62" t="e">
        <f>IF(V$1&lt;=#REF!,_xll.GetCtData("PKAMOUNT","AMOUNT",$A$1:$A$3,$A74:$B74,V$3:V$5,"#")-SUM($M74:U74),0)</f>
        <v>#REF!</v>
      </c>
      <c r="W74" s="62" t="e">
        <f>IF(W$1&lt;=#REF!,_xll.GetCtData("PKAMOUNT","AMOUNT",$A$1:$A$3,$A74:$B74,W$3:W$5,"#")-SUM($M74:V74),0)</f>
        <v>#REF!</v>
      </c>
      <c r="X74" s="62" t="e">
        <f>IF(X$1&lt;=#REF!,_xll.GetCtData("PKAMOUNT","AMOUNT",$A$1:$A$3,$A74:$B74,X$3:X$5,"#")-SUM($M74:W74),0)</f>
        <v>#REF!</v>
      </c>
      <c r="Y74" s="62">
        <f>_xll.GetCtData("PKAMOUNT","AMOUNT",$A$1:$A$3,$A74:$B74,Y$3:Y$5,"#")</f>
        <v>0</v>
      </c>
      <c r="AA74" s="62" t="e">
        <f>$K74*#REF!/12</f>
        <v>#REF!</v>
      </c>
      <c r="AB74" s="60" t="e">
        <f>ROUND($Y74-AA74,2)</f>
        <v>#REF!</v>
      </c>
      <c r="AD74" s="62" t="e">
        <f>$L74*#REF!/12</f>
        <v>#REF!</v>
      </c>
      <c r="AE74" s="60" t="e">
        <f>ROUND($Y74-AD74,2)</f>
        <v>#REF!</v>
      </c>
    </row>
    <row r="75" spans="1:31" ht="12.95" customHeight="1" x14ac:dyDescent="0.2">
      <c r="A75" s="35"/>
      <c r="B75" s="35"/>
      <c r="C75" s="4"/>
      <c r="D75" s="4"/>
      <c r="F75" s="39" t="s">
        <v>228</v>
      </c>
      <c r="H75" s="56">
        <f>IF(H$13=0,0,-H74/H$13)</f>
        <v>0</v>
      </c>
      <c r="I75" s="56">
        <f t="shared" ref="I75:L75" si="52">IF(I$13=0,0,-I74/I$13)</f>
        <v>0</v>
      </c>
      <c r="J75" s="56">
        <f t="shared" si="52"/>
        <v>0</v>
      </c>
      <c r="K75" s="109">
        <f t="shared" si="52"/>
        <v>0</v>
      </c>
      <c r="L75" s="109">
        <f t="shared" si="52"/>
        <v>0</v>
      </c>
      <c r="M75" s="56" t="e">
        <f>IF(M$1&lt;=#REF!,IF(M$13=0,0,-M74/(M$13)),"")</f>
        <v>#REF!</v>
      </c>
      <c r="N75" s="56" t="e">
        <f>IF(N$1&lt;=#REF!,IF(N$13=0,0,-N74/(N$13)),"")</f>
        <v>#REF!</v>
      </c>
      <c r="O75" s="56" t="e">
        <f>IF(O$1&lt;=#REF!,IF(O$13=0,0,-O74/(O$13)),"")</f>
        <v>#REF!</v>
      </c>
      <c r="P75" s="56" t="e">
        <f>IF(P$1&lt;=#REF!,IF(P$13=0,0,-P74/(P$13)),"")</f>
        <v>#REF!</v>
      </c>
      <c r="Q75" s="56" t="e">
        <f>IF(Q$1&lt;=#REF!,IF(Q$13=0,0,-Q74/(Q$13)),"")</f>
        <v>#REF!</v>
      </c>
      <c r="R75" s="56" t="e">
        <f>IF(R$1&lt;=#REF!,IF(R$13=0,0,-R74/(R$13)),"")</f>
        <v>#REF!</v>
      </c>
      <c r="S75" s="56" t="e">
        <f>IF(S$1&lt;=#REF!,IF(S$13=0,0,-S74/(S$13)),"")</f>
        <v>#REF!</v>
      </c>
      <c r="T75" s="56" t="e">
        <f>IF(T$1&lt;=#REF!,IF(T$13=0,0,-T74/(T$13)),"")</f>
        <v>#REF!</v>
      </c>
      <c r="U75" s="56" t="e">
        <f>IF(U$1&lt;=#REF!,IF(U$13=0,0,-U74/(U$13)),"")</f>
        <v>#REF!</v>
      </c>
      <c r="V75" s="56" t="e">
        <f>IF(V$1&lt;=#REF!,IF(V$13=0,0,-V74/(V$13)),"")</f>
        <v>#REF!</v>
      </c>
      <c r="W75" s="56" t="e">
        <f>IF(W$1&lt;=#REF!,IF(W$13=0,0,-W74/(W$13)),"")</f>
        <v>#REF!</v>
      </c>
      <c r="X75" s="56" t="e">
        <f>IF(X$1&lt;=#REF!,IF(X$13=0,0,-X74/(X$13)),"")</f>
        <v>#REF!</v>
      </c>
      <c r="Y75" s="56">
        <f>IF(Y$13=0,0,-Y74/Y$13)</f>
        <v>0</v>
      </c>
      <c r="AA75" s="56" t="e">
        <f>IF(AA$13=0,0,-AA74/AA$13)</f>
        <v>#REF!</v>
      </c>
      <c r="AB75" s="57"/>
      <c r="AD75" s="56" t="e">
        <f>IF(AD$13=0,0,-AD74/AD$13)</f>
        <v>#REF!</v>
      </c>
      <c r="AE75" s="57"/>
    </row>
    <row r="76" spans="1:31" ht="18" hidden="1" customHeight="1" outlineLevel="1" x14ac:dyDescent="0.2">
      <c r="A76" s="30" t="s">
        <v>209</v>
      </c>
      <c r="B76" s="30" t="s">
        <v>17</v>
      </c>
      <c r="C76" s="4" t="e">
        <f>IF(AND($Y76=0,AA76=0),0,IF(AA76=0,IF($Y76&gt;=0,AB76/$Y76,-AB76/$Y76),IF(AA76&gt;=0,AB76/AA76,-AB76/AA76)))</f>
        <v>#REF!</v>
      </c>
      <c r="D76" s="4" t="e">
        <f>IF(AND($Y76=0,AD76=0),0,IF(AD76=0,IF($Y76&gt;=0,AE76/$Y76,-AE76/$Y76),IF(AD76&gt;=0,AE76/AD76,-AE76/AD76)))</f>
        <v>#REF!</v>
      </c>
      <c r="F76" s="106" t="s">
        <v>210</v>
      </c>
      <c r="H76" s="61">
        <f>-_xll.GetCtData("PKAMOUNT","AMOUNT",$A$1:$A$3,$A76:$B76,H$3:H$5,"#")</f>
        <v>0</v>
      </c>
      <c r="I76" s="61">
        <f>-_xll.GetCtData("PKAMOUNT","AMOUNT",$A$1:$A$3,$A76:$B76,I$3:I$5,"#")</f>
        <v>0</v>
      </c>
      <c r="J76" s="61">
        <f>-_xll.GetCtData("PKAMOUNT","AMOUNT",$A$1:$A$3,$A76:$B76,J$3:J$5,"#")</f>
        <v>0</v>
      </c>
      <c r="K76" s="86">
        <f>_xll.GetCtData("PKAMOUNT","AMOUNT",$A$1:$A$3,$A76:$B76,K$3:K$5,"#")</f>
        <v>0</v>
      </c>
      <c r="L76" s="86">
        <f>_xll.GetCtData("PKAMOUNT","AMOUNT",$A$1:$A$3,$A76:$B76,L$3:L$5,"#")</f>
        <v>0</v>
      </c>
      <c r="M76" s="61">
        <f>-_xll.GetCtData("PKAMOUNT","AMOUNT",$A$1:$A$3,$A76:$B76,M$3:M$5,"#")</f>
        <v>0</v>
      </c>
      <c r="N76" s="61" t="e">
        <f>IF(N$1&lt;=#REF!,-_xll.GetCtData("PKAMOUNT","AMOUNT",$A$1:$A$3,$A76:$B76,N$3:N$5,"#")-SUM($M76:M76),0)</f>
        <v>#REF!</v>
      </c>
      <c r="O76" s="61" t="e">
        <f>IF(O$1&lt;=#REF!,-_xll.GetCtData("PKAMOUNT","AMOUNT",$A$1:$A$3,$A76:$B76,O$3:O$5,"#")-SUM($M76:N76),0)</f>
        <v>#REF!</v>
      </c>
      <c r="P76" s="61" t="e">
        <f>IF(P$1&lt;=#REF!,-_xll.GetCtData("PKAMOUNT","AMOUNT",$A$1:$A$3,$A76:$B76,P$3:P$5,"#")-SUM($M76:O76),0)</f>
        <v>#REF!</v>
      </c>
      <c r="Q76" s="61" t="e">
        <f>IF(Q$1&lt;=#REF!,-_xll.GetCtData("PKAMOUNT","AMOUNT",$A$1:$A$3,$A76:$B76,Q$3:Q$5,"#")-SUM($M76:P76),0)</f>
        <v>#REF!</v>
      </c>
      <c r="R76" s="61" t="e">
        <f>IF(R$1&lt;=#REF!,-_xll.GetCtData("PKAMOUNT","AMOUNT",$A$1:$A$3,$A76:$B76,R$3:R$5,"#")-SUM($M76:Q76),0)</f>
        <v>#REF!</v>
      </c>
      <c r="S76" s="61" t="e">
        <f>IF(S$1&lt;=#REF!,-_xll.GetCtData("PKAMOUNT","AMOUNT",$A$1:$A$3,$A76:$B76,S$3:S$5,"#")-SUM($M76:R76),0)</f>
        <v>#REF!</v>
      </c>
      <c r="T76" s="61" t="e">
        <f>IF(T$1&lt;=#REF!,-_xll.GetCtData("PKAMOUNT","AMOUNT",$A$1:$A$3,$A76:$B76,T$3:T$5,"#")-SUM($M76:S76),0)</f>
        <v>#REF!</v>
      </c>
      <c r="U76" s="61" t="e">
        <f>IF(U$1&lt;=#REF!,-_xll.GetCtData("PKAMOUNT","AMOUNT",$A$1:$A$3,$A76:$B76,U$3:U$5,"#")-SUM($M76:T76),0)</f>
        <v>#REF!</v>
      </c>
      <c r="V76" s="61" t="e">
        <f>IF(V$1&lt;=#REF!,-_xll.GetCtData("PKAMOUNT","AMOUNT",$A$1:$A$3,$A76:$B76,V$3:V$5,"#")-SUM($M76:U76),0)</f>
        <v>#REF!</v>
      </c>
      <c r="W76" s="61" t="e">
        <f>IF(W$1&lt;=#REF!,-_xll.GetCtData("PKAMOUNT","AMOUNT",$A$1:$A$3,$A76:$B76,W$3:W$5,"#")-SUM($M76:V76),0)</f>
        <v>#REF!</v>
      </c>
      <c r="X76" s="61" t="e">
        <f>IF(X$1&lt;=#REF!,-_xll.GetCtData("PKAMOUNT","AMOUNT",$A$1:$A$3,$A76:$B76,X$3:X$5,"#")-SUM($M76:W76),0)</f>
        <v>#REF!</v>
      </c>
      <c r="Y76" s="61">
        <f>-_xll.GetCtData("PKAMOUNT","AMOUNT",$A$1:$A$3,$A76:$B76,Y$3:Y$5,"#")</f>
        <v>0</v>
      </c>
      <c r="AA76" s="61" t="e">
        <f>$K76*#REF!/12</f>
        <v>#REF!</v>
      </c>
      <c r="AB76" s="60" t="e">
        <f>ROUND($Y76-AA76,2)</f>
        <v>#REF!</v>
      </c>
      <c r="AD76" s="61" t="e">
        <f>$L76*#REF!/12</f>
        <v>#REF!</v>
      </c>
      <c r="AE76" s="60" t="e">
        <f>ROUND($Y76-AD76,2)</f>
        <v>#REF!</v>
      </c>
    </row>
    <row r="77" spans="1:31" ht="18" hidden="1" customHeight="1" outlineLevel="1" x14ac:dyDescent="0.2">
      <c r="A77" s="30" t="s">
        <v>206</v>
      </c>
      <c r="B77" s="30" t="s">
        <v>205</v>
      </c>
      <c r="C77" s="4" t="e">
        <f>IF(AND($Y77=0,AA77=0),0,IF(AA77=0,IF($Y77&gt;=0,AB77/$Y77,-AB77/$Y77),IF(AA77&gt;=0,AB77/AA77,-AB77/AA77)))</f>
        <v>#REF!</v>
      </c>
      <c r="D77" s="4" t="e">
        <f>IF(AND($Y77=0,AD77=0),0,IF(AD77=0,IF($Y77&gt;=0,AE77/$Y77,-AE77/$Y77),IF(AD77&gt;=0,AE77/AD77,-AE77/AD77)))</f>
        <v>#REF!</v>
      </c>
      <c r="F77" s="106" t="s">
        <v>208</v>
      </c>
      <c r="H77" s="61">
        <f>-_xll.GetCtData("PKAMOUNT","AMOUNT",$A$1:$A$3,$A77:$B77,H$3:H$5,"#")</f>
        <v>0</v>
      </c>
      <c r="I77" s="61">
        <f>-_xll.GetCtData("PKAMOUNT","AMOUNT",$A$1:$A$3,$A77:$B77,I$3:I$5,"#")</f>
        <v>0</v>
      </c>
      <c r="J77" s="61">
        <f>-_xll.GetCtData("PKAMOUNT","AMOUNT",$A$1:$A$3,$A77:$B77,J$3:J$5,"#")</f>
        <v>0</v>
      </c>
      <c r="K77" s="86">
        <f>_xll.GetCtData("PKAMOUNT","AMOUNT",$A$1:$A$3,$A77:$B77,K$3:K$5,"#")</f>
        <v>0</v>
      </c>
      <c r="L77" s="86">
        <f>_xll.GetCtData("PKAMOUNT","AMOUNT",$A$1:$A$3,$A77:$B77,L$3:L$5,"#")</f>
        <v>0</v>
      </c>
      <c r="M77" s="61">
        <f>-_xll.GetCtData("PKAMOUNT","AMOUNT",$A$1:$A$3,$A77:$B77,M$3:M$5,"#")</f>
        <v>0</v>
      </c>
      <c r="N77" s="61" t="e">
        <f>IF(N$1&lt;=#REF!,-_xll.GetCtData("PKAMOUNT","AMOUNT",$A$1:$A$3,$A77:$B77,N$3:N$5,"#")-SUM($M77:M77),0)</f>
        <v>#REF!</v>
      </c>
      <c r="O77" s="61" t="e">
        <f>IF(O$1&lt;=#REF!,-_xll.GetCtData("PKAMOUNT","AMOUNT",$A$1:$A$3,$A77:$B77,O$3:O$5,"#")-SUM($M77:N77),0)</f>
        <v>#REF!</v>
      </c>
      <c r="P77" s="61" t="e">
        <f>IF(P$1&lt;=#REF!,-_xll.GetCtData("PKAMOUNT","AMOUNT",$A$1:$A$3,$A77:$B77,P$3:P$5,"#")-SUM($M77:O77),0)</f>
        <v>#REF!</v>
      </c>
      <c r="Q77" s="61" t="e">
        <f>IF(Q$1&lt;=#REF!,-_xll.GetCtData("PKAMOUNT","AMOUNT",$A$1:$A$3,$A77:$B77,Q$3:Q$5,"#")-SUM($M77:P77),0)</f>
        <v>#REF!</v>
      </c>
      <c r="R77" s="61" t="e">
        <f>IF(R$1&lt;=#REF!,-_xll.GetCtData("PKAMOUNT","AMOUNT",$A$1:$A$3,$A77:$B77,R$3:R$5,"#")-SUM($M77:Q77),0)</f>
        <v>#REF!</v>
      </c>
      <c r="S77" s="61" t="e">
        <f>IF(S$1&lt;=#REF!,-_xll.GetCtData("PKAMOUNT","AMOUNT",$A$1:$A$3,$A77:$B77,S$3:S$5,"#")-SUM($M77:R77),0)</f>
        <v>#REF!</v>
      </c>
      <c r="T77" s="61" t="e">
        <f>IF(T$1&lt;=#REF!,-_xll.GetCtData("PKAMOUNT","AMOUNT",$A$1:$A$3,$A77:$B77,T$3:T$5,"#")-SUM($M77:S77),0)</f>
        <v>#REF!</v>
      </c>
      <c r="U77" s="61" t="e">
        <f>IF(U$1&lt;=#REF!,-_xll.GetCtData("PKAMOUNT","AMOUNT",$A$1:$A$3,$A77:$B77,U$3:U$5,"#")-SUM($M77:T77),0)</f>
        <v>#REF!</v>
      </c>
      <c r="V77" s="61" t="e">
        <f>IF(V$1&lt;=#REF!,-_xll.GetCtData("PKAMOUNT","AMOUNT",$A$1:$A$3,$A77:$B77,V$3:V$5,"#")-SUM($M77:U77),0)</f>
        <v>#REF!</v>
      </c>
      <c r="W77" s="61" t="e">
        <f>IF(W$1&lt;=#REF!,-_xll.GetCtData("PKAMOUNT","AMOUNT",$A$1:$A$3,$A77:$B77,W$3:W$5,"#")-SUM($M77:V77),0)</f>
        <v>#REF!</v>
      </c>
      <c r="X77" s="61" t="e">
        <f>IF(X$1&lt;=#REF!,-_xll.GetCtData("PKAMOUNT","AMOUNT",$A$1:$A$3,$A77:$B77,X$3:X$5,"#")-SUM($M77:W77),0)</f>
        <v>#REF!</v>
      </c>
      <c r="Y77" s="61">
        <f>-_xll.GetCtData("PKAMOUNT","AMOUNT",$A$1:$A$3,$A77:$B77,Y$3:Y$5,"#")</f>
        <v>0</v>
      </c>
      <c r="AA77" s="61" t="e">
        <f>$K77*#REF!/12</f>
        <v>#REF!</v>
      </c>
      <c r="AB77" s="60" t="e">
        <f>ROUND($Y77-AA77,2)</f>
        <v>#REF!</v>
      </c>
      <c r="AD77" s="61" t="e">
        <f>$L77*#REF!/12</f>
        <v>#REF!</v>
      </c>
      <c r="AE77" s="60" t="e">
        <f>ROUND($Y77-AD77,2)</f>
        <v>#REF!</v>
      </c>
    </row>
    <row r="78" spans="1:31" ht="18" customHeight="1" collapsed="1" x14ac:dyDescent="0.2">
      <c r="A78" s="35"/>
      <c r="B78" s="35"/>
      <c r="C78" s="4" t="e">
        <f>IF(AND($Y78=0,AA78=0),0,IF(AA78=0,IF($Y78&gt;=0,AB78/$Y78,-AB78/$Y78),IF(AA78&gt;=0,AB78/AA78,-AB78/AA78)))</f>
        <v>#REF!</v>
      </c>
      <c r="D78" s="4" t="e">
        <f>IF(AND($Y78=0,AD78=0),0,IF(AD78=0,IF($Y78&gt;=0,AE78/$Y78,-AE78/$Y78),IF(AD78&gt;=0,AE78/AD78,-AE78/AD78)))</f>
        <v>#REF!</v>
      </c>
      <c r="F78" s="45" t="s">
        <v>314</v>
      </c>
      <c r="H78" s="62">
        <f>H76+H77</f>
        <v>0</v>
      </c>
      <c r="I78" s="62">
        <f t="shared" ref="I78:Y78" si="53">I76+I77</f>
        <v>0</v>
      </c>
      <c r="J78" s="62">
        <f>J76+J77</f>
        <v>0</v>
      </c>
      <c r="K78" s="108">
        <f t="shared" si="53"/>
        <v>0</v>
      </c>
      <c r="L78" s="108">
        <f t="shared" si="53"/>
        <v>0</v>
      </c>
      <c r="M78" s="62">
        <f t="shared" si="53"/>
        <v>0</v>
      </c>
      <c r="N78" s="62" t="e">
        <f t="shared" si="53"/>
        <v>#REF!</v>
      </c>
      <c r="O78" s="62" t="e">
        <f t="shared" si="53"/>
        <v>#REF!</v>
      </c>
      <c r="P78" s="62" t="e">
        <f t="shared" si="53"/>
        <v>#REF!</v>
      </c>
      <c r="Q78" s="62" t="e">
        <f t="shared" si="53"/>
        <v>#REF!</v>
      </c>
      <c r="R78" s="62" t="e">
        <f t="shared" si="53"/>
        <v>#REF!</v>
      </c>
      <c r="S78" s="62" t="e">
        <f t="shared" ref="S78:T78" si="54">S76+S77</f>
        <v>#REF!</v>
      </c>
      <c r="T78" s="62" t="e">
        <f t="shared" si="54"/>
        <v>#REF!</v>
      </c>
      <c r="U78" s="62" t="e">
        <f t="shared" si="53"/>
        <v>#REF!</v>
      </c>
      <c r="V78" s="62" t="e">
        <f t="shared" si="53"/>
        <v>#REF!</v>
      </c>
      <c r="W78" s="62" t="e">
        <f t="shared" si="53"/>
        <v>#REF!</v>
      </c>
      <c r="X78" s="62" t="e">
        <f t="shared" si="53"/>
        <v>#REF!</v>
      </c>
      <c r="Y78" s="62">
        <f t="shared" si="53"/>
        <v>0</v>
      </c>
      <c r="AA78" s="62" t="e">
        <f>$K78*#REF!/12</f>
        <v>#REF!</v>
      </c>
      <c r="AB78" s="60" t="e">
        <f>ROUND($Y78-AA78,2)</f>
        <v>#REF!</v>
      </c>
      <c r="AD78" s="62" t="e">
        <f>$L78*#REF!/12</f>
        <v>#REF!</v>
      </c>
      <c r="AE78" s="60" t="e">
        <f>ROUND($Y78-AD78,2)</f>
        <v>#REF!</v>
      </c>
    </row>
    <row r="79" spans="1:31" ht="12.95" customHeight="1" x14ac:dyDescent="0.2">
      <c r="A79" s="35"/>
      <c r="B79" s="35"/>
      <c r="C79" s="4"/>
      <c r="D79" s="4"/>
      <c r="F79" s="39" t="s">
        <v>222</v>
      </c>
      <c r="H79" s="56">
        <f>IF(H56=0,0,-H78/(H56))</f>
        <v>0</v>
      </c>
      <c r="I79" s="56">
        <f t="shared" ref="I79:M79" si="55">IF(I56=0,0,-I78/(I56))</f>
        <v>0</v>
      </c>
      <c r="J79" s="56">
        <f t="shared" si="55"/>
        <v>0</v>
      </c>
      <c r="K79" s="109">
        <f t="shared" si="55"/>
        <v>0</v>
      </c>
      <c r="L79" s="109">
        <f t="shared" si="55"/>
        <v>0</v>
      </c>
      <c r="M79" s="56">
        <f t="shared" si="55"/>
        <v>0</v>
      </c>
      <c r="N79" s="56" t="e">
        <f>IF(N$1&lt;=#REF!,IF(N56=0,0,-N78/(N56)),"")</f>
        <v>#REF!</v>
      </c>
      <c r="O79" s="56" t="e">
        <f>IF(O$1&lt;=#REF!,IF(O56=0,0,-O78/(O56)),"")</f>
        <v>#REF!</v>
      </c>
      <c r="P79" s="56" t="e">
        <f>IF(P$1&lt;=#REF!,IF(P56=0,0,-P78/(P56)),"")</f>
        <v>#REF!</v>
      </c>
      <c r="Q79" s="56" t="e">
        <f>IF(Q$1&lt;=#REF!,IF(Q56=0,0,-Q78/(Q56)),"")</f>
        <v>#REF!</v>
      </c>
      <c r="R79" s="56" t="e">
        <f>IF(R$1&lt;=#REF!,IF(R56=0,0,-R78/(R56)),"")</f>
        <v>#REF!</v>
      </c>
      <c r="S79" s="56" t="e">
        <f>IF(S$1&lt;=#REF!,IF(S56=0,0,-S78/(S56)),"")</f>
        <v>#REF!</v>
      </c>
      <c r="T79" s="56" t="e">
        <f>IF(T$1&lt;=#REF!,IF(T56=0,0,-T78/(T56)),"")</f>
        <v>#REF!</v>
      </c>
      <c r="U79" s="56" t="e">
        <f>IF(U$1&lt;=#REF!,IF(U56=0,0,-U78/(U56)),"")</f>
        <v>#REF!</v>
      </c>
      <c r="V79" s="56" t="e">
        <f>IF(V$1&lt;=#REF!,IF(V56=0,0,-V78/(V56)),"")</f>
        <v>#REF!</v>
      </c>
      <c r="W79" s="56" t="e">
        <f>IF(W$1&lt;=#REF!,IF(W56=0,0,-W78/(W56)),"")</f>
        <v>#REF!</v>
      </c>
      <c r="X79" s="56" t="e">
        <f>IF(X$1&lt;=#REF!,IF(X56=0,0,-X78/(X56)),"")</f>
        <v>#REF!</v>
      </c>
      <c r="Y79" s="56">
        <f>IF(Y56=0,0,-Y78/(Y56))</f>
        <v>0</v>
      </c>
      <c r="AA79" s="56" t="e">
        <f t="shared" ref="AA79" si="56">IF(AA56=0,0,-AA78/(AA56))</f>
        <v>#REF!</v>
      </c>
      <c r="AB79" s="57"/>
      <c r="AD79" s="56" t="e">
        <f t="shared" ref="AD79" si="57">IF(AD56=0,0,-AD78/(AD56))</f>
        <v>#REF!</v>
      </c>
      <c r="AE79" s="57"/>
    </row>
    <row r="80" spans="1:31" ht="18" hidden="1" customHeight="1" outlineLevel="2" x14ac:dyDescent="0.2">
      <c r="A80" s="33" t="s">
        <v>43</v>
      </c>
      <c r="B80" s="33" t="s">
        <v>17</v>
      </c>
      <c r="C80" s="4"/>
      <c r="D80" s="4"/>
      <c r="F80" s="38" t="s">
        <v>44</v>
      </c>
      <c r="H80" s="66">
        <f>_xll.GetCtData("PKAMOUNT","AMOUNT",$A$1:$A$3,$A80:$B80,H$3:H$5,"#")</f>
        <v>0</v>
      </c>
      <c r="I80" s="66">
        <f>_xll.GetCtData("PKAMOUNT","AMOUNT",$A$1:$A$3,$A80:$B80,I$3:I$5,"#")</f>
        <v>0</v>
      </c>
      <c r="J80" s="66">
        <f>_xll.GetCtData("PKAMOUNT","AMOUNT",$A$1:$A$3,$A80:$B80,J$3:J$5,"#")</f>
        <v>0</v>
      </c>
      <c r="K80" s="86"/>
      <c r="L80" s="86"/>
      <c r="M80" s="66">
        <f>_xll.GetCtData("PKAMOUNT","AMOUNT",$A$1:$A$3,$A80:$B80,M$3:M$5,"#")</f>
        <v>0</v>
      </c>
      <c r="N80" s="66" t="e">
        <f>IF(N$1&lt;=#REF!,_xll.GetCtData("PKAMOUNT","AMOUNT",$A$1:$A$3,$A80:$B80,N$3:N$5,"#")-SUM($M80:M80),0)</f>
        <v>#REF!</v>
      </c>
      <c r="O80" s="66" t="e">
        <f>IF(O$1&lt;=#REF!,_xll.GetCtData("PKAMOUNT","AMOUNT",$A$1:$A$3,$A80:$B80,O$3:O$5,"#")-SUM($M80:N80),0)</f>
        <v>#REF!</v>
      </c>
      <c r="P80" s="66" t="e">
        <f>IF(P$1&lt;=#REF!,_xll.GetCtData("PKAMOUNT","AMOUNT",$A$1:$A$3,$A80:$B80,P$3:P$5,"#")-SUM($M80:O80),0)</f>
        <v>#REF!</v>
      </c>
      <c r="Q80" s="66" t="e">
        <f>IF(Q$1&lt;=#REF!,_xll.GetCtData("PKAMOUNT","AMOUNT",$A$1:$A$3,$A80:$B80,Q$3:Q$5,"#")-SUM($M80:P80),0)</f>
        <v>#REF!</v>
      </c>
      <c r="R80" s="66" t="e">
        <f>IF(R$1&lt;=#REF!,_xll.GetCtData("PKAMOUNT","AMOUNT",$A$1:$A$3,$A80:$B80,R$3:R$5,"#")-SUM($M80:Q80),0)</f>
        <v>#REF!</v>
      </c>
      <c r="S80" s="66" t="e">
        <f>IF(S$1&lt;=#REF!,_xll.GetCtData("PKAMOUNT","AMOUNT",$A$1:$A$3,$A80:$B80,S$3:S$5,"#")-SUM($M80:R80),0)</f>
        <v>#REF!</v>
      </c>
      <c r="T80" s="66" t="e">
        <f>IF(T$1&lt;=#REF!,_xll.GetCtData("PKAMOUNT","AMOUNT",$A$1:$A$3,$A80:$B80,T$3:T$5,"#")-SUM($M80:S80),0)</f>
        <v>#REF!</v>
      </c>
      <c r="U80" s="66" t="e">
        <f>IF(U$1&lt;=#REF!,_xll.GetCtData("PKAMOUNT","AMOUNT",$A$1:$A$3,$A80:$B80,U$3:U$5,"#")-SUM($M80:T80),0)</f>
        <v>#REF!</v>
      </c>
      <c r="V80" s="66" t="e">
        <f>IF(V$1&lt;=#REF!,_xll.GetCtData("PKAMOUNT","AMOUNT",$A$1:$A$3,$A80:$B80,V$3:V$5,"#")-SUM($M80:U80),0)</f>
        <v>#REF!</v>
      </c>
      <c r="W80" s="66" t="e">
        <f>IF(W$1&lt;=#REF!,_xll.GetCtData("PKAMOUNT","AMOUNT",$A$1:$A$3,$A80:$B80,W$3:W$5,"#")-SUM($M80:V80),0)</f>
        <v>#REF!</v>
      </c>
      <c r="X80" s="66" t="e">
        <f>IF(X$1&lt;=#REF!,_xll.GetCtData("PKAMOUNT","AMOUNT",$A$1:$A$3,$A80:$B80,X$3:X$5,"#")-SUM($M80:W80),0)</f>
        <v>#REF!</v>
      </c>
      <c r="Y80" s="66">
        <f>_xll.GetCtData("PKAMOUNT","AMOUNT",$A$1:$A$3,$A80:$B80,Y$3:Y$5,"#")</f>
        <v>0</v>
      </c>
      <c r="AA80" s="70"/>
      <c r="AB80" s="71"/>
      <c r="AD80" s="70"/>
      <c r="AE80" s="71"/>
    </row>
    <row r="81" spans="1:31" ht="18" hidden="1" customHeight="1" outlineLevel="2" x14ac:dyDescent="0.2">
      <c r="A81" s="33" t="s">
        <v>43</v>
      </c>
      <c r="B81" s="33" t="s">
        <v>17</v>
      </c>
      <c r="C81" s="4"/>
      <c r="D81" s="4"/>
      <c r="F81" s="38" t="s">
        <v>45</v>
      </c>
      <c r="H81" s="66">
        <f>-_xll.GetCtData("PKAMOUNT","AMOUNT",$A$1:$A$4,$A81:$B81,H$3:H$4,"#")</f>
        <v>0</v>
      </c>
      <c r="I81" s="66">
        <f>-H80</f>
        <v>0</v>
      </c>
      <c r="J81" s="66">
        <f>-H80</f>
        <v>0</v>
      </c>
      <c r="K81" s="86"/>
      <c r="L81" s="86"/>
      <c r="M81" s="66">
        <f>-J80</f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f>-J80</f>
        <v>0</v>
      </c>
      <c r="AA81" s="70"/>
      <c r="AB81" s="71"/>
      <c r="AD81" s="70"/>
      <c r="AE81" s="71"/>
    </row>
    <row r="82" spans="1:31" ht="18" hidden="1" customHeight="1" outlineLevel="2" x14ac:dyDescent="0.2">
      <c r="A82" s="33" t="s">
        <v>46</v>
      </c>
      <c r="B82" s="33" t="s">
        <v>17</v>
      </c>
      <c r="C82" s="4" t="e">
        <f t="shared" ref="C82:C92" si="58">IF(AND($Y82=0,AA82=0),0,IF(AA82=0,IF($Y82&gt;=0,AB82/$Y82,-AB82/$Y82),IF(AA82&gt;=0,AB82/AA82,-AB82/AA82)))</f>
        <v>#REF!</v>
      </c>
      <c r="D82" s="4" t="e">
        <f t="shared" ref="D82:D92" si="59">IF(AND($Y82=0,AD82=0),0,IF(AD82=0,IF($Y82&gt;=0,AE82/$Y82,-AE82/$Y82),IF(AD82&gt;=0,AE82/AD82,-AE82/AD82)))</f>
        <v>#REF!</v>
      </c>
      <c r="F82" s="38" t="s">
        <v>47</v>
      </c>
      <c r="H82" s="66">
        <f>_xll.GetCtData("PKAMOUNT","AMOUNT",$A$1:$A$3,$A82:$B82,H$3:H$5,"#")</f>
        <v>0</v>
      </c>
      <c r="I82" s="66">
        <f>_xll.GetCtData("PKAMOUNT","AMOUNT",$A$1:$A$3,$A82:$B82,I$3:I$5,"#")</f>
        <v>0</v>
      </c>
      <c r="J82" s="66">
        <f>_xll.GetCtData("PKAMOUNT","AMOUNT",$A$1:$A$3,$A82:$B82,J$3:J$5,"#")</f>
        <v>0</v>
      </c>
      <c r="K82" s="86">
        <f>_xll.GetCtData("PKAMOUNT","AMOUNT",$A$1:$A$3,$A82:$B82,K$3:K$5,"#")</f>
        <v>0</v>
      </c>
      <c r="L82" s="86">
        <f>_xll.GetCtData("PKAMOUNT","AMOUNT",$A$1:$A$3,$A82:$B82,L$3:L$5,"#")</f>
        <v>0</v>
      </c>
      <c r="M82" s="66">
        <f>_xll.GetCtData("PKAMOUNT","AMOUNT",$A$1:$A$3,$A82:$B82,M$3:M$5,"#")</f>
        <v>0</v>
      </c>
      <c r="N82" s="66" t="e">
        <f>IF(N$1&lt;=#REF!,_xll.GetCtData("PKAMOUNT","AMOUNT",$A$1:$A$3,$A82:$B82,N$3:N$5,"#")-SUM($M82:M82),0)</f>
        <v>#REF!</v>
      </c>
      <c r="O82" s="66" t="e">
        <f>IF(O$1&lt;=#REF!,_xll.GetCtData("PKAMOUNT","AMOUNT",$A$1:$A$3,$A82:$B82,O$3:O$5,"#")-SUM($M82:N82),0)</f>
        <v>#REF!</v>
      </c>
      <c r="P82" s="66" t="e">
        <f>IF(P$1&lt;=#REF!,_xll.GetCtData("PKAMOUNT","AMOUNT",$A$1:$A$3,$A82:$B82,P$3:P$5,"#")-SUM($M82:O82),0)</f>
        <v>#REF!</v>
      </c>
      <c r="Q82" s="66" t="e">
        <f>IF(Q$1&lt;=#REF!,_xll.GetCtData("PKAMOUNT","AMOUNT",$A$1:$A$3,$A82:$B82,Q$3:Q$5,"#")-SUM($M82:P82),0)</f>
        <v>#REF!</v>
      </c>
      <c r="R82" s="66" t="e">
        <f>IF(R$1&lt;=#REF!,_xll.GetCtData("PKAMOUNT","AMOUNT",$A$1:$A$3,$A82:$B82,R$3:R$5,"#")-SUM($M82:Q82),0)</f>
        <v>#REF!</v>
      </c>
      <c r="S82" s="66" t="e">
        <f>IF(S$1&lt;=#REF!,_xll.GetCtData("PKAMOUNT","AMOUNT",$A$1:$A$3,$A82:$B82,S$3:S$5,"#")-SUM($M82:R82),0)</f>
        <v>#REF!</v>
      </c>
      <c r="T82" s="66" t="e">
        <f>IF(T$1&lt;=#REF!,_xll.GetCtData("PKAMOUNT","AMOUNT",$A$1:$A$3,$A82:$B82,T$3:T$5,"#")-SUM($M82:S82),0)</f>
        <v>#REF!</v>
      </c>
      <c r="U82" s="66" t="e">
        <f>IF(U$1&lt;=#REF!,_xll.GetCtData("PKAMOUNT","AMOUNT",$A$1:$A$3,$A82:$B82,U$3:U$5,"#")-SUM($M82:T82),0)</f>
        <v>#REF!</v>
      </c>
      <c r="V82" s="66" t="e">
        <f>IF(V$1&lt;=#REF!,_xll.GetCtData("PKAMOUNT","AMOUNT",$A$1:$A$3,$A82:$B82,V$3:V$5,"#")-SUM($M82:U82),0)</f>
        <v>#REF!</v>
      </c>
      <c r="W82" s="66" t="e">
        <f>IF(W$1&lt;=#REF!,_xll.GetCtData("PKAMOUNT","AMOUNT",$A$1:$A$3,$A82:$B82,W$3:W$5,"#")-SUM($M82:V82),0)</f>
        <v>#REF!</v>
      </c>
      <c r="X82" s="66" t="e">
        <f>IF(X$1&lt;=#REF!,_xll.GetCtData("PKAMOUNT","AMOUNT",$A$1:$A$3,$A82:$B82,X$3:X$5,"#")-SUM($M82:W82),0)</f>
        <v>#REF!</v>
      </c>
      <c r="Y82" s="66">
        <f>_xll.GetCtData("PKAMOUNT","AMOUNT",$A$1:$A$3,$A82:$B82,Y$3:Y$5,"#")</f>
        <v>0</v>
      </c>
      <c r="AA82" s="66" t="e">
        <f>$K82*#REF!/12</f>
        <v>#REF!</v>
      </c>
      <c r="AB82" s="65" t="e">
        <f t="shared" ref="AB82:AB92" si="60">ROUND($Y82-AA82,2)</f>
        <v>#REF!</v>
      </c>
      <c r="AD82" s="66" t="e">
        <f>$L82*#REF!/12</f>
        <v>#REF!</v>
      </c>
      <c r="AE82" s="65" t="e">
        <f t="shared" ref="AE82:AE92" si="61">ROUND($Y82-AD82,2)</f>
        <v>#REF!</v>
      </c>
    </row>
    <row r="83" spans="1:31" ht="18" hidden="1" customHeight="1" outlineLevel="1" collapsed="1" x14ac:dyDescent="0.2">
      <c r="A83" s="35"/>
      <c r="B83" s="35"/>
      <c r="C83" s="4" t="e">
        <f t="shared" si="58"/>
        <v>#REF!</v>
      </c>
      <c r="D83" s="4" t="e">
        <f t="shared" si="59"/>
        <v>#REF!</v>
      </c>
      <c r="F83" s="106" t="s">
        <v>48</v>
      </c>
      <c r="H83" s="61">
        <f t="shared" ref="H83:Y83" si="62">H80+H81+H82</f>
        <v>0</v>
      </c>
      <c r="I83" s="61">
        <f t="shared" si="62"/>
        <v>0</v>
      </c>
      <c r="J83" s="61">
        <f t="shared" si="62"/>
        <v>0</v>
      </c>
      <c r="K83" s="86">
        <f t="shared" si="62"/>
        <v>0</v>
      </c>
      <c r="L83" s="86">
        <f t="shared" si="62"/>
        <v>0</v>
      </c>
      <c r="M83" s="61">
        <f t="shared" si="62"/>
        <v>0</v>
      </c>
      <c r="N83" s="61" t="e">
        <f t="shared" si="62"/>
        <v>#REF!</v>
      </c>
      <c r="O83" s="61" t="e">
        <f t="shared" si="62"/>
        <v>#REF!</v>
      </c>
      <c r="P83" s="61" t="e">
        <f t="shared" si="62"/>
        <v>#REF!</v>
      </c>
      <c r="Q83" s="61" t="e">
        <f t="shared" si="62"/>
        <v>#REF!</v>
      </c>
      <c r="R83" s="61" t="e">
        <f t="shared" si="62"/>
        <v>#REF!</v>
      </c>
      <c r="S83" s="61" t="e">
        <f t="shared" ref="S83:T83" si="63">S80+S81+S82</f>
        <v>#REF!</v>
      </c>
      <c r="T83" s="61" t="e">
        <f t="shared" si="63"/>
        <v>#REF!</v>
      </c>
      <c r="U83" s="61" t="e">
        <f t="shared" si="62"/>
        <v>#REF!</v>
      </c>
      <c r="V83" s="61" t="e">
        <f t="shared" si="62"/>
        <v>#REF!</v>
      </c>
      <c r="W83" s="61" t="e">
        <f t="shared" si="62"/>
        <v>#REF!</v>
      </c>
      <c r="X83" s="61" t="e">
        <f t="shared" si="62"/>
        <v>#REF!</v>
      </c>
      <c r="Y83" s="61">
        <f t="shared" si="62"/>
        <v>0</v>
      </c>
      <c r="AA83" s="61" t="e">
        <f>$K83*#REF!/12</f>
        <v>#REF!</v>
      </c>
      <c r="AB83" s="60" t="e">
        <f t="shared" si="60"/>
        <v>#REF!</v>
      </c>
      <c r="AD83" s="61" t="e">
        <f>$L83*#REF!/12</f>
        <v>#REF!</v>
      </c>
      <c r="AE83" s="60" t="e">
        <f t="shared" si="61"/>
        <v>#REF!</v>
      </c>
    </row>
    <row r="84" spans="1:31" ht="18" hidden="1" customHeight="1" outlineLevel="1" x14ac:dyDescent="0.2">
      <c r="A84" s="30" t="s">
        <v>50</v>
      </c>
      <c r="B84" s="30" t="s">
        <v>17</v>
      </c>
      <c r="C84" s="4" t="e">
        <f t="shared" si="58"/>
        <v>#REF!</v>
      </c>
      <c r="D84" s="4" t="e">
        <f t="shared" si="59"/>
        <v>#REF!</v>
      </c>
      <c r="F84" s="106" t="s">
        <v>52</v>
      </c>
      <c r="H84" s="61">
        <f>_xll.GetCtData("PKAMOUNT","AMOUNT",$A$1:$A$3,$A84:$B84,H$3:H$5,"#")</f>
        <v>0</v>
      </c>
      <c r="I84" s="61">
        <f>_xll.GetCtData("PKAMOUNT","AMOUNT",$A$1:$A$3,$A84:$B84,I$3:I$5,"#")</f>
        <v>0</v>
      </c>
      <c r="J84" s="61">
        <f>_xll.GetCtData("PKAMOUNT","AMOUNT",$A$1:$A$3,$A84:$B84,J$3:J$5,"#")</f>
        <v>0</v>
      </c>
      <c r="K84" s="86">
        <f>_xll.GetCtData("PKAMOUNT","AMOUNT",$A$1:$A$3,$A84:$B84,K$3:K$5,"#")</f>
        <v>0</v>
      </c>
      <c r="L84" s="86">
        <f>_xll.GetCtData("PKAMOUNT","AMOUNT",$A$1:$A$3,$A84:$B84,L$3:L$5,"#")</f>
        <v>0</v>
      </c>
      <c r="M84" s="61">
        <f>_xll.GetCtData("PKAMOUNT","AMOUNT",$A$1:$A$3,$A84:$B84,M$3:M$5,"#")</f>
        <v>0</v>
      </c>
      <c r="N84" s="61" t="e">
        <f>IF(N$1&lt;=#REF!,_xll.GetCtData("PKAMOUNT","AMOUNT",$A$1:$A$3,$A84:$B84,N$3:N$5,"#")-SUM($M84:M84),0)</f>
        <v>#REF!</v>
      </c>
      <c r="O84" s="61" t="e">
        <f>IF(O$1&lt;=#REF!,_xll.GetCtData("PKAMOUNT","AMOUNT",$A$1:$A$3,$A84:$B84,O$3:O$5,"#")-SUM($M84:N84),0)</f>
        <v>#REF!</v>
      </c>
      <c r="P84" s="61" t="e">
        <f>IF(P$1&lt;=#REF!,_xll.GetCtData("PKAMOUNT","AMOUNT",$A$1:$A$3,$A84:$B84,P$3:P$5,"#")-SUM($M84:O84),0)</f>
        <v>#REF!</v>
      </c>
      <c r="Q84" s="61" t="e">
        <f>IF(Q$1&lt;=#REF!,_xll.GetCtData("PKAMOUNT","AMOUNT",$A$1:$A$3,$A84:$B84,Q$3:Q$5,"#")-SUM($M84:P84),0)</f>
        <v>#REF!</v>
      </c>
      <c r="R84" s="61" t="e">
        <f>IF(R$1&lt;=#REF!,_xll.GetCtData("PKAMOUNT","AMOUNT",$A$1:$A$3,$A84:$B84,R$3:R$5,"#")-SUM($M84:Q84),0)</f>
        <v>#REF!</v>
      </c>
      <c r="S84" s="61" t="e">
        <f>IF(S$1&lt;=#REF!,_xll.GetCtData("PKAMOUNT","AMOUNT",$A$1:$A$3,$A84:$B84,S$3:S$5,"#")-SUM($M84:R84),0)</f>
        <v>#REF!</v>
      </c>
      <c r="T84" s="61" t="e">
        <f>IF(T$1&lt;=#REF!,_xll.GetCtData("PKAMOUNT","AMOUNT",$A$1:$A$3,$A84:$B84,T$3:T$5,"#")-SUM($M84:S84),0)</f>
        <v>#REF!</v>
      </c>
      <c r="U84" s="61" t="e">
        <f>IF(U$1&lt;=#REF!,_xll.GetCtData("PKAMOUNT","AMOUNT",$A$1:$A$3,$A84:$B84,U$3:U$5,"#")-SUM($M84:T84),0)</f>
        <v>#REF!</v>
      </c>
      <c r="V84" s="61" t="e">
        <f>IF(V$1&lt;=#REF!,_xll.GetCtData("PKAMOUNT","AMOUNT",$A$1:$A$3,$A84:$B84,V$3:V$5,"#")-SUM($M84:U84),0)</f>
        <v>#REF!</v>
      </c>
      <c r="W84" s="61" t="e">
        <f>IF(W$1&lt;=#REF!,_xll.GetCtData("PKAMOUNT","AMOUNT",$A$1:$A$3,$A84:$B84,W$3:W$5,"#")-SUM($M84:V84),0)</f>
        <v>#REF!</v>
      </c>
      <c r="X84" s="61" t="e">
        <f>IF(X$1&lt;=#REF!,_xll.GetCtData("PKAMOUNT","AMOUNT",$A$1:$A$3,$A84:$B84,X$3:X$5,"#")-SUM($M84:W84),0)</f>
        <v>#REF!</v>
      </c>
      <c r="Y84" s="61">
        <f>_xll.GetCtData("PKAMOUNT","AMOUNT",$A$1:$A$3,$A84:$B84,Y$3:Y$5,"#")</f>
        <v>0</v>
      </c>
      <c r="AA84" s="61" t="e">
        <f>$K84*#REF!/12</f>
        <v>#REF!</v>
      </c>
      <c r="AB84" s="60" t="e">
        <f t="shared" si="60"/>
        <v>#REF!</v>
      </c>
      <c r="AD84" s="61" t="e">
        <f>$L84*#REF!/12</f>
        <v>#REF!</v>
      </c>
      <c r="AE84" s="60" t="e">
        <f t="shared" si="61"/>
        <v>#REF!</v>
      </c>
    </row>
    <row r="85" spans="1:31" ht="18" hidden="1" customHeight="1" outlineLevel="1" x14ac:dyDescent="0.2">
      <c r="A85" s="30" t="s">
        <v>49</v>
      </c>
      <c r="B85" s="30" t="s">
        <v>17</v>
      </c>
      <c r="C85" s="4" t="e">
        <f t="shared" si="58"/>
        <v>#REF!</v>
      </c>
      <c r="D85" s="4" t="e">
        <f t="shared" si="59"/>
        <v>#REF!</v>
      </c>
      <c r="F85" s="106" t="s">
        <v>51</v>
      </c>
      <c r="H85" s="61">
        <f>_xll.GetCtData("PKAMOUNT","AMOUNT",$A$1:$A$3,$A85:$B85,H$3:H$5,"#")</f>
        <v>0</v>
      </c>
      <c r="I85" s="61">
        <f>_xll.GetCtData("PKAMOUNT","AMOUNT",$A$1:$A$3,$A85:$B85,I$3:I$5,"#")</f>
        <v>0</v>
      </c>
      <c r="J85" s="61">
        <f>_xll.GetCtData("PKAMOUNT","AMOUNT",$A$1:$A$3,$A85:$B85,J$3:J$5,"#")</f>
        <v>0</v>
      </c>
      <c r="K85" s="86">
        <f>_xll.GetCtData("PKAMOUNT","AMOUNT",$A$1:$A$3,$A85:$B85,K$3:K$5,"#")</f>
        <v>0</v>
      </c>
      <c r="L85" s="86">
        <f>_xll.GetCtData("PKAMOUNT","AMOUNT",$A$1:$A$3,$A85:$B85,L$3:L$5,"#")</f>
        <v>0</v>
      </c>
      <c r="M85" s="61">
        <f>_xll.GetCtData("PKAMOUNT","AMOUNT",$A$1:$A$3,$A85:$B85,M$3:M$5,"#")</f>
        <v>0</v>
      </c>
      <c r="N85" s="61" t="e">
        <f>IF(N$1&lt;=#REF!,_xll.GetCtData("PKAMOUNT","AMOUNT",$A$1:$A$3,$A85:$B85,N$3:N$5,"#")-SUM($M85:M85),0)</f>
        <v>#REF!</v>
      </c>
      <c r="O85" s="61" t="e">
        <f>IF(O$1&lt;=#REF!,_xll.GetCtData("PKAMOUNT","AMOUNT",$A$1:$A$3,$A85:$B85,O$3:O$5,"#")-SUM($M85:N85),0)</f>
        <v>#REF!</v>
      </c>
      <c r="P85" s="61" t="e">
        <f>IF(P$1&lt;=#REF!,_xll.GetCtData("PKAMOUNT","AMOUNT",$A$1:$A$3,$A85:$B85,P$3:P$5,"#")-SUM($M85:O85),0)</f>
        <v>#REF!</v>
      </c>
      <c r="Q85" s="61" t="e">
        <f>IF(Q$1&lt;=#REF!,_xll.GetCtData("PKAMOUNT","AMOUNT",$A$1:$A$3,$A85:$B85,Q$3:Q$5,"#")-SUM($M85:P85),0)</f>
        <v>#REF!</v>
      </c>
      <c r="R85" s="61" t="e">
        <f>IF(R$1&lt;=#REF!,_xll.GetCtData("PKAMOUNT","AMOUNT",$A$1:$A$3,$A85:$B85,R$3:R$5,"#")-SUM($M85:Q85),0)</f>
        <v>#REF!</v>
      </c>
      <c r="S85" s="61" t="e">
        <f>IF(S$1&lt;=#REF!,_xll.GetCtData("PKAMOUNT","AMOUNT",$A$1:$A$3,$A85:$B85,S$3:S$5,"#")-SUM($M85:R85),0)</f>
        <v>#REF!</v>
      </c>
      <c r="T85" s="61" t="e">
        <f>IF(T$1&lt;=#REF!,_xll.GetCtData("PKAMOUNT","AMOUNT",$A$1:$A$3,$A85:$B85,T$3:T$5,"#")-SUM($M85:S85),0)</f>
        <v>#REF!</v>
      </c>
      <c r="U85" s="61" t="e">
        <f>IF(U$1&lt;=#REF!,_xll.GetCtData("PKAMOUNT","AMOUNT",$A$1:$A$3,$A85:$B85,U$3:U$5,"#")-SUM($M85:T85),0)</f>
        <v>#REF!</v>
      </c>
      <c r="V85" s="61" t="e">
        <f>IF(V$1&lt;=#REF!,_xll.GetCtData("PKAMOUNT","AMOUNT",$A$1:$A$3,$A85:$B85,V$3:V$5,"#")-SUM($M85:U85),0)</f>
        <v>#REF!</v>
      </c>
      <c r="W85" s="61" t="e">
        <f>IF(W$1&lt;=#REF!,_xll.GetCtData("PKAMOUNT","AMOUNT",$A$1:$A$3,$A85:$B85,W$3:W$5,"#")-SUM($M85:V85),0)</f>
        <v>#REF!</v>
      </c>
      <c r="X85" s="61" t="e">
        <f>IF(X$1&lt;=#REF!,_xll.GetCtData("PKAMOUNT","AMOUNT",$A$1:$A$3,$A85:$B85,X$3:X$5,"#")-SUM($M85:W85),0)</f>
        <v>#REF!</v>
      </c>
      <c r="Y85" s="61">
        <f>_xll.GetCtData("PKAMOUNT","AMOUNT",$A$1:$A$3,$A85:$B85,Y$3:Y$5,"#")</f>
        <v>0</v>
      </c>
      <c r="AA85" s="61" t="e">
        <f>$K85*#REF!/12</f>
        <v>#REF!</v>
      </c>
      <c r="AB85" s="60" t="e">
        <f t="shared" si="60"/>
        <v>#REF!</v>
      </c>
      <c r="AD85" s="61" t="e">
        <f>$L85*#REF!/12</f>
        <v>#REF!</v>
      </c>
      <c r="AE85" s="60" t="e">
        <f t="shared" si="61"/>
        <v>#REF!</v>
      </c>
    </row>
    <row r="86" spans="1:31" ht="18" hidden="1" customHeight="1" outlineLevel="1" x14ac:dyDescent="0.2">
      <c r="A86" s="30" t="s">
        <v>213</v>
      </c>
      <c r="B86" s="30" t="s">
        <v>17</v>
      </c>
      <c r="C86" s="4" t="e">
        <f t="shared" si="58"/>
        <v>#REF!</v>
      </c>
      <c r="D86" s="4" t="e">
        <f t="shared" si="59"/>
        <v>#REF!</v>
      </c>
      <c r="F86" s="106" t="s">
        <v>215</v>
      </c>
      <c r="H86" s="61">
        <f>_xll.GetCtData("PKAMOUNT","AMOUNT",$A$1:$A$3,$A86:$B86,H$3:H$5,"#")</f>
        <v>0</v>
      </c>
      <c r="I86" s="61">
        <f>_xll.GetCtData("PKAMOUNT","AMOUNT",$A$1:$A$3,$A86:$B86,I$3:I$5,"#")</f>
        <v>0</v>
      </c>
      <c r="J86" s="61">
        <f>_xll.GetCtData("PKAMOUNT","AMOUNT",$A$1:$A$3,$A86:$B86,J$3:J$5,"#")</f>
        <v>0</v>
      </c>
      <c r="K86" s="86">
        <f>_xll.GetCtData("PKAMOUNT","AMOUNT",$A$1:$A$3,$A86:$B86,K$3:K$5,"#")</f>
        <v>0</v>
      </c>
      <c r="L86" s="86">
        <f>_xll.GetCtData("PKAMOUNT","AMOUNT",$A$1:$A$3,$A86:$B86,L$3:L$5,"#")</f>
        <v>0</v>
      </c>
      <c r="M86" s="61">
        <f>_xll.GetCtData("PKAMOUNT","AMOUNT",$A$1:$A$3,$A86:$B86,M$3:M$5,"#")</f>
        <v>0</v>
      </c>
      <c r="N86" s="61" t="e">
        <f>IF(N$1&lt;=#REF!,_xll.GetCtData("PKAMOUNT","AMOUNT",$A$1:$A$3,$A86:$B86,N$3:N$5,"#")-SUM($M86:M86),0)</f>
        <v>#REF!</v>
      </c>
      <c r="O86" s="61" t="e">
        <f>IF(O$1&lt;=#REF!,_xll.GetCtData("PKAMOUNT","AMOUNT",$A$1:$A$3,$A86:$B86,O$3:O$5,"#")-SUM($M86:N86),0)</f>
        <v>#REF!</v>
      </c>
      <c r="P86" s="61" t="e">
        <f>IF(P$1&lt;=#REF!,_xll.GetCtData("PKAMOUNT","AMOUNT",$A$1:$A$3,$A86:$B86,P$3:P$5,"#")-SUM($M86:O86),0)</f>
        <v>#REF!</v>
      </c>
      <c r="Q86" s="61" t="e">
        <f>IF(Q$1&lt;=#REF!,_xll.GetCtData("PKAMOUNT","AMOUNT",$A$1:$A$3,$A86:$B86,Q$3:Q$5,"#")-SUM($M86:P86),0)</f>
        <v>#REF!</v>
      </c>
      <c r="R86" s="61" t="e">
        <f>IF(R$1&lt;=#REF!,_xll.GetCtData("PKAMOUNT","AMOUNT",$A$1:$A$3,$A86:$B86,R$3:R$5,"#")-SUM($M86:Q86),0)</f>
        <v>#REF!</v>
      </c>
      <c r="S86" s="61" t="e">
        <f>IF(S$1&lt;=#REF!,_xll.GetCtData("PKAMOUNT","AMOUNT",$A$1:$A$3,$A86:$B86,S$3:S$5,"#")-SUM($M86:R86),0)</f>
        <v>#REF!</v>
      </c>
      <c r="T86" s="61" t="e">
        <f>IF(T$1&lt;=#REF!,_xll.GetCtData("PKAMOUNT","AMOUNT",$A$1:$A$3,$A86:$B86,T$3:T$5,"#")-SUM($M86:S86),0)</f>
        <v>#REF!</v>
      </c>
      <c r="U86" s="61" t="e">
        <f>IF(U$1&lt;=#REF!,_xll.GetCtData("PKAMOUNT","AMOUNT",$A$1:$A$3,$A86:$B86,U$3:U$5,"#")-SUM($M86:T86),0)</f>
        <v>#REF!</v>
      </c>
      <c r="V86" s="61" t="e">
        <f>IF(V$1&lt;=#REF!,_xll.GetCtData("PKAMOUNT","AMOUNT",$A$1:$A$3,$A86:$B86,V$3:V$5,"#")-SUM($M86:U86),0)</f>
        <v>#REF!</v>
      </c>
      <c r="W86" s="61" t="e">
        <f>IF(W$1&lt;=#REF!,_xll.GetCtData("PKAMOUNT","AMOUNT",$A$1:$A$3,$A86:$B86,W$3:W$5,"#")-SUM($M86:V86),0)</f>
        <v>#REF!</v>
      </c>
      <c r="X86" s="61" t="e">
        <f>IF(X$1&lt;=#REF!,_xll.GetCtData("PKAMOUNT","AMOUNT",$A$1:$A$3,$A86:$B86,X$3:X$5,"#")-SUM($M86:W86),0)</f>
        <v>#REF!</v>
      </c>
      <c r="Y86" s="61">
        <f>_xll.GetCtData("PKAMOUNT","AMOUNT",$A$1:$A$3,$A86:$B86,Y$3:Y$5,"#")</f>
        <v>0</v>
      </c>
      <c r="AA86" s="61" t="e">
        <f>$K86*#REF!/12</f>
        <v>#REF!</v>
      </c>
      <c r="AB86" s="60" t="e">
        <f t="shared" si="60"/>
        <v>#REF!</v>
      </c>
      <c r="AD86" s="61" t="e">
        <f>$L86*#REF!/12</f>
        <v>#REF!</v>
      </c>
      <c r="AE86" s="60" t="e">
        <f t="shared" si="61"/>
        <v>#REF!</v>
      </c>
    </row>
    <row r="87" spans="1:31" ht="18" hidden="1" customHeight="1" outlineLevel="1" x14ac:dyDescent="0.2">
      <c r="A87" s="30" t="s">
        <v>214</v>
      </c>
      <c r="B87" s="30" t="s">
        <v>17</v>
      </c>
      <c r="C87" s="4" t="e">
        <f t="shared" si="58"/>
        <v>#REF!</v>
      </c>
      <c r="D87" s="4" t="e">
        <f t="shared" si="59"/>
        <v>#REF!</v>
      </c>
      <c r="F87" s="106" t="s">
        <v>216</v>
      </c>
      <c r="H87" s="61">
        <f>_xll.GetCtData("PKAMOUNT","AMOUNT",$A$1:$A$3,$A87:$B87,H$3:H$5,"#")</f>
        <v>0</v>
      </c>
      <c r="I87" s="61">
        <f>_xll.GetCtData("PKAMOUNT","AMOUNT",$A$1:$A$3,$A87:$B87,I$3:I$5,"#")</f>
        <v>0</v>
      </c>
      <c r="J87" s="61">
        <f>_xll.GetCtData("PKAMOUNT","AMOUNT",$A$1:$A$3,$A87:$B87,J$3:J$5,"#")</f>
        <v>0</v>
      </c>
      <c r="K87" s="86">
        <f>_xll.GetCtData("PKAMOUNT","AMOUNT",$A$1:$A$3,$A87:$B87,K$3:K$5,"#")</f>
        <v>0</v>
      </c>
      <c r="L87" s="86">
        <f>_xll.GetCtData("PKAMOUNT","AMOUNT",$A$1:$A$3,$A87:$B87,L$3:L$5,"#")</f>
        <v>0</v>
      </c>
      <c r="M87" s="61">
        <f>_xll.GetCtData("PKAMOUNT","AMOUNT",$A$1:$A$3,$A87:$B87,M$3:M$5,"#")</f>
        <v>0</v>
      </c>
      <c r="N87" s="61" t="e">
        <f>IF(N$1&lt;=#REF!,_xll.GetCtData("PKAMOUNT","AMOUNT",$A$1:$A$3,$A87:$B87,N$3:N$5,"#")-SUM($M87:M87),0)</f>
        <v>#REF!</v>
      </c>
      <c r="O87" s="61" t="e">
        <f>IF(O$1&lt;=#REF!,_xll.GetCtData("PKAMOUNT","AMOUNT",$A$1:$A$3,$A87:$B87,O$3:O$5,"#")-SUM($M87:N87),0)</f>
        <v>#REF!</v>
      </c>
      <c r="P87" s="61" t="e">
        <f>IF(P$1&lt;=#REF!,_xll.GetCtData("PKAMOUNT","AMOUNT",$A$1:$A$3,$A87:$B87,P$3:P$5,"#")-SUM($M87:O87),0)</f>
        <v>#REF!</v>
      </c>
      <c r="Q87" s="61" t="e">
        <f>IF(Q$1&lt;=#REF!,_xll.GetCtData("PKAMOUNT","AMOUNT",$A$1:$A$3,$A87:$B87,Q$3:Q$5,"#")-SUM($M87:P87),0)</f>
        <v>#REF!</v>
      </c>
      <c r="R87" s="61" t="e">
        <f>IF(R$1&lt;=#REF!,_xll.GetCtData("PKAMOUNT","AMOUNT",$A$1:$A$3,$A87:$B87,R$3:R$5,"#")-SUM($M87:Q87),0)</f>
        <v>#REF!</v>
      </c>
      <c r="S87" s="61" t="e">
        <f>IF(S$1&lt;=#REF!,_xll.GetCtData("PKAMOUNT","AMOUNT",$A$1:$A$3,$A87:$B87,S$3:S$5,"#")-SUM($M87:R87),0)</f>
        <v>#REF!</v>
      </c>
      <c r="T87" s="61" t="e">
        <f>IF(T$1&lt;=#REF!,_xll.GetCtData("PKAMOUNT","AMOUNT",$A$1:$A$3,$A87:$B87,T$3:T$5,"#")-SUM($M87:S87),0)</f>
        <v>#REF!</v>
      </c>
      <c r="U87" s="61" t="e">
        <f>IF(U$1&lt;=#REF!,_xll.GetCtData("PKAMOUNT","AMOUNT",$A$1:$A$3,$A87:$B87,U$3:U$5,"#")-SUM($M87:T87),0)</f>
        <v>#REF!</v>
      </c>
      <c r="V87" s="61" t="e">
        <f>IF(V$1&lt;=#REF!,_xll.GetCtData("PKAMOUNT","AMOUNT",$A$1:$A$3,$A87:$B87,V$3:V$5,"#")-SUM($M87:U87),0)</f>
        <v>#REF!</v>
      </c>
      <c r="W87" s="61" t="e">
        <f>IF(W$1&lt;=#REF!,_xll.GetCtData("PKAMOUNT","AMOUNT",$A$1:$A$3,$A87:$B87,W$3:W$5,"#")-SUM($M87:V87),0)</f>
        <v>#REF!</v>
      </c>
      <c r="X87" s="61" t="e">
        <f>IF(X$1&lt;=#REF!,_xll.GetCtData("PKAMOUNT","AMOUNT",$A$1:$A$3,$A87:$B87,X$3:X$5,"#")-SUM($M87:W87),0)</f>
        <v>#REF!</v>
      </c>
      <c r="Y87" s="61">
        <f>_xll.GetCtData("PKAMOUNT","AMOUNT",$A$1:$A$3,$A87:$B87,Y$3:Y$5,"#")</f>
        <v>0</v>
      </c>
      <c r="AA87" s="61" t="e">
        <f>$K87*#REF!/12</f>
        <v>#REF!</v>
      </c>
      <c r="AB87" s="60" t="e">
        <f t="shared" si="60"/>
        <v>#REF!</v>
      </c>
      <c r="AD87" s="61" t="e">
        <f>$L87*#REF!/12</f>
        <v>#REF!</v>
      </c>
      <c r="AE87" s="60" t="e">
        <f t="shared" si="61"/>
        <v>#REF!</v>
      </c>
    </row>
    <row r="88" spans="1:31" ht="18" hidden="1" customHeight="1" outlineLevel="2" x14ac:dyDescent="0.2">
      <c r="A88" s="33" t="s">
        <v>53</v>
      </c>
      <c r="B88" s="33" t="s">
        <v>17</v>
      </c>
      <c r="C88" s="4" t="e">
        <f t="shared" si="58"/>
        <v>#REF!</v>
      </c>
      <c r="D88" s="4" t="e">
        <f t="shared" si="59"/>
        <v>#REF!</v>
      </c>
      <c r="F88" s="38" t="s">
        <v>55</v>
      </c>
      <c r="H88" s="66">
        <f>_xll.GetCtData("PKAMOUNT","AMOUNT",$A$1:$A$3,$A88:$B88,H$3:H$5,"#")</f>
        <v>0</v>
      </c>
      <c r="I88" s="66">
        <f>_xll.GetCtData("PKAMOUNT","AMOUNT",$A$1:$A$3,$A88:$B88,I$3:I$5,"#")</f>
        <v>0</v>
      </c>
      <c r="J88" s="66">
        <f>_xll.GetCtData("PKAMOUNT","AMOUNT",$A$1:$A$3,$A88:$B88,J$3:J$5,"#")</f>
        <v>0</v>
      </c>
      <c r="K88" s="86">
        <f>_xll.GetCtData("PKAMOUNT","AMOUNT",$A$1:$A$3,$A88:$B88,K$3:K$5,"#")</f>
        <v>0</v>
      </c>
      <c r="L88" s="86">
        <f>_xll.GetCtData("PKAMOUNT","AMOUNT",$A$1:$A$3,$A88:$B88,L$3:L$5,"#")</f>
        <v>0</v>
      </c>
      <c r="M88" s="66">
        <f>_xll.GetCtData("PKAMOUNT","AMOUNT",$A$1:$A$3,$A88:$B88,M$3:M$5,"#")</f>
        <v>0</v>
      </c>
      <c r="N88" s="66" t="e">
        <f>IF(N$1&lt;=#REF!,_xll.GetCtData("PKAMOUNT","AMOUNT",$A$1:$A$3,$A88:$B88,N$3:N$5,"#")-SUM($M88:M88),0)</f>
        <v>#REF!</v>
      </c>
      <c r="O88" s="66" t="e">
        <f>IF(O$1&lt;=#REF!,_xll.GetCtData("PKAMOUNT","AMOUNT",$A$1:$A$3,$A88:$B88,O$3:O$5,"#")-SUM($M88:N88),0)</f>
        <v>#REF!</v>
      </c>
      <c r="P88" s="66" t="e">
        <f>IF(P$1&lt;=#REF!,_xll.GetCtData("PKAMOUNT","AMOUNT",$A$1:$A$3,$A88:$B88,P$3:P$5,"#")-SUM($M88:O88),0)</f>
        <v>#REF!</v>
      </c>
      <c r="Q88" s="66" t="e">
        <f>IF(Q$1&lt;=#REF!,_xll.GetCtData("PKAMOUNT","AMOUNT",$A$1:$A$3,$A88:$B88,Q$3:Q$5,"#")-SUM($M88:P88),0)</f>
        <v>#REF!</v>
      </c>
      <c r="R88" s="66" t="e">
        <f>IF(R$1&lt;=#REF!,_xll.GetCtData("PKAMOUNT","AMOUNT",$A$1:$A$3,$A88:$B88,R$3:R$5,"#")-SUM($M88:Q88),0)</f>
        <v>#REF!</v>
      </c>
      <c r="S88" s="66" t="e">
        <f>IF(S$1&lt;=#REF!,_xll.GetCtData("PKAMOUNT","AMOUNT",$A$1:$A$3,$A88:$B88,S$3:S$5,"#")-SUM($M88:R88),0)</f>
        <v>#REF!</v>
      </c>
      <c r="T88" s="66" t="e">
        <f>IF(T$1&lt;=#REF!,_xll.GetCtData("PKAMOUNT","AMOUNT",$A$1:$A$3,$A88:$B88,T$3:T$5,"#")-SUM($M88:S88),0)</f>
        <v>#REF!</v>
      </c>
      <c r="U88" s="66" t="e">
        <f>IF(U$1&lt;=#REF!,_xll.GetCtData("PKAMOUNT","AMOUNT",$A$1:$A$3,$A88:$B88,U$3:U$5,"#")-SUM($M88:T88),0)</f>
        <v>#REF!</v>
      </c>
      <c r="V88" s="66" t="e">
        <f>IF(V$1&lt;=#REF!,_xll.GetCtData("PKAMOUNT","AMOUNT",$A$1:$A$3,$A88:$B88,V$3:V$5,"#")-SUM($M88:U88),0)</f>
        <v>#REF!</v>
      </c>
      <c r="W88" s="66" t="e">
        <f>IF(W$1&lt;=#REF!,_xll.GetCtData("PKAMOUNT","AMOUNT",$A$1:$A$3,$A88:$B88,W$3:W$5,"#")-SUM($M88:V88),0)</f>
        <v>#REF!</v>
      </c>
      <c r="X88" s="66" t="e">
        <f>IF(X$1&lt;=#REF!,_xll.GetCtData("PKAMOUNT","AMOUNT",$A$1:$A$3,$A88:$B88,X$3:X$5,"#")-SUM($M88:W88),0)</f>
        <v>#REF!</v>
      </c>
      <c r="Y88" s="66">
        <f>_xll.GetCtData("PKAMOUNT","AMOUNT",$A$1:$A$3,$A88:$B88,Y$3:Y$5,"#")</f>
        <v>0</v>
      </c>
      <c r="AA88" s="66" t="e">
        <f>$K88*#REF!/12</f>
        <v>#REF!</v>
      </c>
      <c r="AB88" s="60" t="e">
        <f t="shared" si="60"/>
        <v>#REF!</v>
      </c>
      <c r="AD88" s="66" t="e">
        <f>$L88*#REF!/12</f>
        <v>#REF!</v>
      </c>
      <c r="AE88" s="60" t="e">
        <f t="shared" si="61"/>
        <v>#REF!</v>
      </c>
    </row>
    <row r="89" spans="1:31" ht="18" hidden="1" customHeight="1" outlineLevel="2" x14ac:dyDescent="0.2">
      <c r="A89" s="33" t="s">
        <v>54</v>
      </c>
      <c r="B89" s="33" t="s">
        <v>17</v>
      </c>
      <c r="C89" s="4" t="e">
        <f t="shared" si="58"/>
        <v>#REF!</v>
      </c>
      <c r="D89" s="4" t="e">
        <f t="shared" si="59"/>
        <v>#REF!</v>
      </c>
      <c r="F89" s="38" t="s">
        <v>56</v>
      </c>
      <c r="H89" s="66">
        <f>_xll.GetCtData("PKAMOUNT","AMOUNT",$A$1:$A$3,$A89:$B89,H$3:H$5,"#")</f>
        <v>0</v>
      </c>
      <c r="I89" s="66">
        <f>_xll.GetCtData("PKAMOUNT","AMOUNT",$A$1:$A$3,$A89:$B89,I$3:I$5,"#")</f>
        <v>0</v>
      </c>
      <c r="J89" s="66">
        <f>_xll.GetCtData("PKAMOUNT","AMOUNT",$A$1:$A$3,$A89:$B89,J$3:J$5,"#")</f>
        <v>0</v>
      </c>
      <c r="K89" s="86">
        <f>_xll.GetCtData("PKAMOUNT","AMOUNT",$A$1:$A$3,$A89:$B89,K$3:K$5,"#")</f>
        <v>0</v>
      </c>
      <c r="L89" s="86">
        <f>_xll.GetCtData("PKAMOUNT","AMOUNT",$A$1:$A$3,$A89:$B89,L$3:L$5,"#")</f>
        <v>0</v>
      </c>
      <c r="M89" s="66">
        <f>_xll.GetCtData("PKAMOUNT","AMOUNT",$A$1:$A$3,$A89:$B89,M$3:M$5,"#")</f>
        <v>0</v>
      </c>
      <c r="N89" s="66" t="e">
        <f>IF(N$1&lt;=#REF!,_xll.GetCtData("PKAMOUNT","AMOUNT",$A$1:$A$3,$A89:$B89,N$3:N$5,"#")-SUM($M89:M89),0)</f>
        <v>#REF!</v>
      </c>
      <c r="O89" s="66" t="e">
        <f>IF(O$1&lt;=#REF!,_xll.GetCtData("PKAMOUNT","AMOUNT",$A$1:$A$3,$A89:$B89,O$3:O$5,"#")-SUM($M89:N89),0)</f>
        <v>#REF!</v>
      </c>
      <c r="P89" s="66" t="e">
        <f>IF(P$1&lt;=#REF!,_xll.GetCtData("PKAMOUNT","AMOUNT",$A$1:$A$3,$A89:$B89,P$3:P$5,"#")-SUM($M89:O89),0)</f>
        <v>#REF!</v>
      </c>
      <c r="Q89" s="66" t="e">
        <f>IF(Q$1&lt;=#REF!,_xll.GetCtData("PKAMOUNT","AMOUNT",$A$1:$A$3,$A89:$B89,Q$3:Q$5,"#")-SUM($M89:P89),0)</f>
        <v>#REF!</v>
      </c>
      <c r="R89" s="66" t="e">
        <f>IF(R$1&lt;=#REF!,_xll.GetCtData("PKAMOUNT","AMOUNT",$A$1:$A$3,$A89:$B89,R$3:R$5,"#")-SUM($M89:Q89),0)</f>
        <v>#REF!</v>
      </c>
      <c r="S89" s="66" t="e">
        <f>IF(S$1&lt;=#REF!,_xll.GetCtData("PKAMOUNT","AMOUNT",$A$1:$A$3,$A89:$B89,S$3:S$5,"#")-SUM($M89:R89),0)</f>
        <v>#REF!</v>
      </c>
      <c r="T89" s="66" t="e">
        <f>IF(T$1&lt;=#REF!,_xll.GetCtData("PKAMOUNT","AMOUNT",$A$1:$A$3,$A89:$B89,T$3:T$5,"#")-SUM($M89:S89),0)</f>
        <v>#REF!</v>
      </c>
      <c r="U89" s="66" t="e">
        <f>IF(U$1&lt;=#REF!,_xll.GetCtData("PKAMOUNT","AMOUNT",$A$1:$A$3,$A89:$B89,U$3:U$5,"#")-SUM($M89:T89),0)</f>
        <v>#REF!</v>
      </c>
      <c r="V89" s="66" t="e">
        <f>IF(V$1&lt;=#REF!,_xll.GetCtData("PKAMOUNT","AMOUNT",$A$1:$A$3,$A89:$B89,V$3:V$5,"#")-SUM($M89:U89),0)</f>
        <v>#REF!</v>
      </c>
      <c r="W89" s="66" t="e">
        <f>IF(W$1&lt;=#REF!,_xll.GetCtData("PKAMOUNT","AMOUNT",$A$1:$A$3,$A89:$B89,W$3:W$5,"#")-SUM($M89:V89),0)</f>
        <v>#REF!</v>
      </c>
      <c r="X89" s="66" t="e">
        <f>IF(X$1&lt;=#REF!,_xll.GetCtData("PKAMOUNT","AMOUNT",$A$1:$A$3,$A89:$B89,X$3:X$5,"#")-SUM($M89:W89),0)</f>
        <v>#REF!</v>
      </c>
      <c r="Y89" s="66">
        <f>_xll.GetCtData("PKAMOUNT","AMOUNT",$A$1:$A$3,$A89:$B89,Y$3:Y$5,"#")</f>
        <v>0</v>
      </c>
      <c r="AA89" s="66" t="e">
        <f>$K89*#REF!/12</f>
        <v>#REF!</v>
      </c>
      <c r="AB89" s="60" t="e">
        <f t="shared" si="60"/>
        <v>#REF!</v>
      </c>
      <c r="AD89" s="66" t="e">
        <f>$L89*#REF!/12</f>
        <v>#REF!</v>
      </c>
      <c r="AE89" s="60" t="e">
        <f t="shared" si="61"/>
        <v>#REF!</v>
      </c>
    </row>
    <row r="90" spans="1:31" ht="18" hidden="1" customHeight="1" outlineLevel="1" collapsed="1" x14ac:dyDescent="0.2">
      <c r="A90" s="35"/>
      <c r="B90" s="35"/>
      <c r="C90" s="4" t="e">
        <f t="shared" si="58"/>
        <v>#REF!</v>
      </c>
      <c r="D90" s="4" t="e">
        <f t="shared" si="59"/>
        <v>#REF!</v>
      </c>
      <c r="F90" s="106" t="s">
        <v>58</v>
      </c>
      <c r="H90" s="61">
        <f>H91-H83-H84-H85-H86-H87</f>
        <v>0</v>
      </c>
      <c r="I90" s="61">
        <f t="shared" ref="I90:Y90" si="64">I91-I83-I84-I85-I86-I87</f>
        <v>0</v>
      </c>
      <c r="J90" s="61">
        <f t="shared" si="64"/>
        <v>0</v>
      </c>
      <c r="K90" s="86">
        <f t="shared" si="64"/>
        <v>0</v>
      </c>
      <c r="L90" s="86">
        <f t="shared" si="64"/>
        <v>0</v>
      </c>
      <c r="M90" s="61">
        <f t="shared" si="64"/>
        <v>0</v>
      </c>
      <c r="N90" s="61" t="e">
        <f t="shared" si="64"/>
        <v>#REF!</v>
      </c>
      <c r="O90" s="61" t="e">
        <f t="shared" si="64"/>
        <v>#REF!</v>
      </c>
      <c r="P90" s="61" t="e">
        <f t="shared" si="64"/>
        <v>#REF!</v>
      </c>
      <c r="Q90" s="61" t="e">
        <f t="shared" si="64"/>
        <v>#REF!</v>
      </c>
      <c r="R90" s="61" t="e">
        <f t="shared" si="64"/>
        <v>#REF!</v>
      </c>
      <c r="S90" s="61" t="e">
        <f t="shared" ref="S90:T90" si="65">S91-S83-S84-S85-S86-S87</f>
        <v>#REF!</v>
      </c>
      <c r="T90" s="61" t="e">
        <f t="shared" si="65"/>
        <v>#REF!</v>
      </c>
      <c r="U90" s="61" t="e">
        <f t="shared" si="64"/>
        <v>#REF!</v>
      </c>
      <c r="V90" s="61" t="e">
        <f t="shared" si="64"/>
        <v>#REF!</v>
      </c>
      <c r="W90" s="61" t="e">
        <f t="shared" si="64"/>
        <v>#REF!</v>
      </c>
      <c r="X90" s="61" t="e">
        <f t="shared" si="64"/>
        <v>#REF!</v>
      </c>
      <c r="Y90" s="61">
        <f t="shared" si="64"/>
        <v>0</v>
      </c>
      <c r="AA90" s="61" t="e">
        <f>$K90*#REF!/12</f>
        <v>#REF!</v>
      </c>
      <c r="AB90" s="60" t="e">
        <f t="shared" si="60"/>
        <v>#REF!</v>
      </c>
      <c r="AD90" s="61" t="e">
        <f>$L90*#REF!/12</f>
        <v>#REF!</v>
      </c>
      <c r="AE90" s="60" t="e">
        <f t="shared" si="61"/>
        <v>#REF!</v>
      </c>
    </row>
    <row r="91" spans="1:31" ht="18" customHeight="1" collapsed="1" x14ac:dyDescent="0.2">
      <c r="A91" s="35"/>
      <c r="B91" s="35"/>
      <c r="C91" s="4" t="e">
        <f t="shared" si="58"/>
        <v>#REF!</v>
      </c>
      <c r="D91" s="4" t="e">
        <f t="shared" si="59"/>
        <v>#REF!</v>
      </c>
      <c r="F91" s="45" t="s">
        <v>26</v>
      </c>
      <c r="H91" s="62">
        <f t="shared" ref="H91:Y91" si="66">H92-H72-H74-H78</f>
        <v>0</v>
      </c>
      <c r="I91" s="62">
        <f t="shared" si="66"/>
        <v>0</v>
      </c>
      <c r="J91" s="62">
        <f t="shared" si="66"/>
        <v>0</v>
      </c>
      <c r="K91" s="108">
        <f t="shared" si="66"/>
        <v>0</v>
      </c>
      <c r="L91" s="108">
        <f t="shared" si="66"/>
        <v>0</v>
      </c>
      <c r="M91" s="62">
        <f t="shared" si="66"/>
        <v>0</v>
      </c>
      <c r="N91" s="62" t="e">
        <f t="shared" si="66"/>
        <v>#REF!</v>
      </c>
      <c r="O91" s="62" t="e">
        <f t="shared" si="66"/>
        <v>#REF!</v>
      </c>
      <c r="P91" s="62" t="e">
        <f t="shared" si="66"/>
        <v>#REF!</v>
      </c>
      <c r="Q91" s="62" t="e">
        <f t="shared" si="66"/>
        <v>#REF!</v>
      </c>
      <c r="R91" s="62" t="e">
        <f t="shared" si="66"/>
        <v>#REF!</v>
      </c>
      <c r="S91" s="62" t="e">
        <f t="shared" ref="S91:T91" si="67">S92-S72-S74-S78</f>
        <v>#REF!</v>
      </c>
      <c r="T91" s="62" t="e">
        <f t="shared" si="67"/>
        <v>#REF!</v>
      </c>
      <c r="U91" s="62" t="e">
        <f t="shared" si="66"/>
        <v>#REF!</v>
      </c>
      <c r="V91" s="62" t="e">
        <f t="shared" si="66"/>
        <v>#REF!</v>
      </c>
      <c r="W91" s="62" t="e">
        <f t="shared" si="66"/>
        <v>#REF!</v>
      </c>
      <c r="X91" s="62" t="e">
        <f t="shared" si="66"/>
        <v>#REF!</v>
      </c>
      <c r="Y91" s="62">
        <f t="shared" si="66"/>
        <v>0</v>
      </c>
      <c r="AA91" s="62" t="e">
        <f>$K91*#REF!/12</f>
        <v>#REF!</v>
      </c>
      <c r="AB91" s="60" t="e">
        <f t="shared" si="60"/>
        <v>#REF!</v>
      </c>
      <c r="AD91" s="62" t="e">
        <f>$L91*#REF!/12</f>
        <v>#REF!</v>
      </c>
      <c r="AE91" s="60" t="e">
        <f t="shared" si="61"/>
        <v>#REF!</v>
      </c>
    </row>
    <row r="92" spans="1:31" ht="18" customHeight="1" x14ac:dyDescent="0.2">
      <c r="A92" s="30" t="s">
        <v>16</v>
      </c>
      <c r="B92" s="30" t="s">
        <v>17</v>
      </c>
      <c r="C92" s="4" t="e">
        <f t="shared" si="58"/>
        <v>#REF!</v>
      </c>
      <c r="D92" s="4" t="e">
        <f t="shared" si="59"/>
        <v>#REF!</v>
      </c>
      <c r="F92" s="95" t="s">
        <v>118</v>
      </c>
      <c r="H92" s="64">
        <f>_xll.GetCtData("PKAMOUNT","AMOUNT",$A$1:$A$3,$A92:$B92,H$3:H$5,"#")</f>
        <v>0</v>
      </c>
      <c r="I92" s="64">
        <f>_xll.GetCtData("PKAMOUNT","AMOUNT",$A$1:$A$3,$A92:$B92,I$3:I$5,"#")</f>
        <v>0</v>
      </c>
      <c r="J92" s="64">
        <f>_xll.GetCtData("PKAMOUNT","AMOUNT",$A$1:$A$3,$A92:$B92,J$3:J$5,"#")</f>
        <v>0</v>
      </c>
      <c r="K92" s="89">
        <f>_xll.GetCtData("PKAMOUNT","AMOUNT",$A$1:$A$3,$A92:$B92,K$3:K$5,"#")</f>
        <v>0</v>
      </c>
      <c r="L92" s="89">
        <f>_xll.GetCtData("PKAMOUNT","AMOUNT",$A$1:$A$3,$A92:$B92,L$3:L$5,"#")</f>
        <v>0</v>
      </c>
      <c r="M92" s="64">
        <f>_xll.GetCtData("PKAMOUNT","AMOUNT",$A$1:$A$3,$A92:$B92,M$3:M$5,"#")</f>
        <v>0</v>
      </c>
      <c r="N92" s="64" t="e">
        <f>IF(N$1&lt;=#REF!,_xll.GetCtData("PKAMOUNT","AMOUNT",$A$1:$A$3,$A92:$B92,N$3:N$5,"#")-SUM($M92:M92),0)</f>
        <v>#REF!</v>
      </c>
      <c r="O92" s="64" t="e">
        <f>IF(O$1&lt;=#REF!,_xll.GetCtData("PKAMOUNT","AMOUNT",$A$1:$A$3,$A92:$B92,O$3:O$5,"#")-SUM($M92:N92),0)</f>
        <v>#REF!</v>
      </c>
      <c r="P92" s="64" t="e">
        <f>IF(P$1&lt;=#REF!,_xll.GetCtData("PKAMOUNT","AMOUNT",$A$1:$A$3,$A92:$B92,P$3:P$5,"#")-SUM($M92:O92),0)</f>
        <v>#REF!</v>
      </c>
      <c r="Q92" s="64" t="e">
        <f>IF(Q$1&lt;=#REF!,_xll.GetCtData("PKAMOUNT","AMOUNT",$A$1:$A$3,$A92:$B92,Q$3:Q$5,"#")-SUM($M92:P92),0)</f>
        <v>#REF!</v>
      </c>
      <c r="R92" s="64" t="e">
        <f>IF(R$1&lt;=#REF!,_xll.GetCtData("PKAMOUNT","AMOUNT",$A$1:$A$3,$A92:$B92,R$3:R$5,"#")-SUM($M92:Q92),0)</f>
        <v>#REF!</v>
      </c>
      <c r="S92" s="64" t="e">
        <f>IF(S$1&lt;=#REF!,_xll.GetCtData("PKAMOUNT","AMOUNT",$A$1:$A$3,$A92:$B92,S$3:S$5,"#")-SUM($M92:R92),0)</f>
        <v>#REF!</v>
      </c>
      <c r="T92" s="64" t="e">
        <f>IF(T$1&lt;=#REF!,_xll.GetCtData("PKAMOUNT","AMOUNT",$A$1:$A$3,$A92:$B92,T$3:T$5,"#")-SUM($M92:S92),0)</f>
        <v>#REF!</v>
      </c>
      <c r="U92" s="64" t="e">
        <f>IF(U$1&lt;=#REF!,_xll.GetCtData("PKAMOUNT","AMOUNT",$A$1:$A$3,$A92:$B92,U$3:U$5,"#")-SUM($M92:T92),0)</f>
        <v>#REF!</v>
      </c>
      <c r="V92" s="64" t="e">
        <f>IF(V$1&lt;=#REF!,_xll.GetCtData("PKAMOUNT","AMOUNT",$A$1:$A$3,$A92:$B92,V$3:V$5,"#")-SUM($M92:U92),0)</f>
        <v>#REF!</v>
      </c>
      <c r="W92" s="64" t="e">
        <f>IF(W$1&lt;=#REF!,_xll.GetCtData("PKAMOUNT","AMOUNT",$A$1:$A$3,$A92:$B92,W$3:W$5,"#")-SUM($M92:V92),0)</f>
        <v>#REF!</v>
      </c>
      <c r="X92" s="64" t="e">
        <f>IF(X$1&lt;=#REF!,_xll.GetCtData("PKAMOUNT","AMOUNT",$A$1:$A$3,$A92:$B92,X$3:X$5,"#")-SUM($M92:W92),0)</f>
        <v>#REF!</v>
      </c>
      <c r="Y92" s="64">
        <f>_xll.GetCtData("PKAMOUNT","AMOUNT",$A$1:$A$3,$A92:$B92,Y$3:Y$5,"#")</f>
        <v>0</v>
      </c>
      <c r="AA92" s="64" t="e">
        <f>$K92*#REF!/12</f>
        <v>#REF!</v>
      </c>
      <c r="AB92" s="60" t="e">
        <f t="shared" si="60"/>
        <v>#REF!</v>
      </c>
      <c r="AD92" s="64" t="e">
        <f>$L92*#REF!/12</f>
        <v>#REF!</v>
      </c>
      <c r="AE92" s="60" t="e">
        <f t="shared" si="61"/>
        <v>#REF!</v>
      </c>
    </row>
    <row r="93" spans="1:31" ht="12.95" customHeight="1" x14ac:dyDescent="0.2">
      <c r="A93" s="35"/>
      <c r="B93" s="35"/>
      <c r="C93" s="4"/>
      <c r="D93" s="4"/>
      <c r="F93" s="39" t="s">
        <v>223</v>
      </c>
      <c r="H93" s="56">
        <f>-H92/(H$58)</f>
        <v>0</v>
      </c>
      <c r="I93" s="56">
        <f t="shared" ref="I93:L93" si="68">-I92/(I$58)</f>
        <v>0</v>
      </c>
      <c r="J93" s="56">
        <f t="shared" si="68"/>
        <v>0</v>
      </c>
      <c r="K93" s="109" t="e">
        <f t="shared" si="68"/>
        <v>#DIV/0!</v>
      </c>
      <c r="L93" s="109" t="e">
        <f t="shared" si="68"/>
        <v>#DIV/0!</v>
      </c>
      <c r="M93" s="56" t="e">
        <f>-M92/(M$58)</f>
        <v>#DIV/0!</v>
      </c>
      <c r="N93" s="56" t="e">
        <f>IF(N$1&lt;=#REF!,-N92/(N$58),"")</f>
        <v>#REF!</v>
      </c>
      <c r="O93" s="56" t="e">
        <f>IF(O$1&lt;=#REF!,-O92/(O$58),"")</f>
        <v>#REF!</v>
      </c>
      <c r="P93" s="56" t="e">
        <f>IF(P$1&lt;=#REF!,-P92/(P$58),"")</f>
        <v>#REF!</v>
      </c>
      <c r="Q93" s="56" t="e">
        <f>IF(Q$1&lt;=#REF!,-Q92/(Q$58),"")</f>
        <v>#REF!</v>
      </c>
      <c r="R93" s="56" t="e">
        <f>IF(R$1&lt;=#REF!,-R92/(R$58),"")</f>
        <v>#REF!</v>
      </c>
      <c r="S93" s="56" t="e">
        <f>IF(S$1&lt;=#REF!,-S92/(S$58),"")</f>
        <v>#REF!</v>
      </c>
      <c r="T93" s="56" t="e">
        <f>IF(T$1&lt;=#REF!,-T92/(T$58),"")</f>
        <v>#REF!</v>
      </c>
      <c r="U93" s="56" t="e">
        <f>IF(U$1&lt;=#REF!,-U92/(U$58),"")</f>
        <v>#REF!</v>
      </c>
      <c r="V93" s="56" t="e">
        <f>IF(V$1&lt;=#REF!,-V92/(V$58),"")</f>
        <v>#REF!</v>
      </c>
      <c r="W93" s="56" t="e">
        <f>IF(W$1&lt;=#REF!,-W92/(W$58),"")</f>
        <v>#REF!</v>
      </c>
      <c r="X93" s="56" t="e">
        <f>IF(X$1&lt;=#REF!,-X92/(X$58),"")</f>
        <v>#REF!</v>
      </c>
      <c r="Y93" s="56" t="e">
        <f>-Y92/(Y$58)</f>
        <v>#DIV/0!</v>
      </c>
      <c r="AA93" s="56" t="e">
        <f>-AA92/(AA$58)</f>
        <v>#REF!</v>
      </c>
      <c r="AB93" s="57"/>
      <c r="AD93" s="56" t="e">
        <f>-AD92/(AD$58)</f>
        <v>#REF!</v>
      </c>
      <c r="AE93" s="57"/>
    </row>
    <row r="94" spans="1:31" ht="6.95" customHeight="1" x14ac:dyDescent="0.2">
      <c r="C94" s="4"/>
      <c r="D94" s="4"/>
      <c r="F94" s="96"/>
      <c r="K94" s="110"/>
      <c r="L94" s="110"/>
      <c r="AB94" s="7"/>
      <c r="AE94" s="7"/>
    </row>
    <row r="95" spans="1:31" ht="18" hidden="1" customHeight="1" outlineLevel="1" x14ac:dyDescent="0.2">
      <c r="A95" s="30" t="s">
        <v>36</v>
      </c>
      <c r="B95" s="30" t="s">
        <v>59</v>
      </c>
      <c r="C95" s="4"/>
      <c r="D95" s="4"/>
      <c r="F95" s="51" t="s">
        <v>235</v>
      </c>
      <c r="G95" s="34"/>
      <c r="H95" s="72">
        <f>_xll.GetCtData("PKAMOUNT","AMOUNT",$A$1:$A$3,$A95:$B95,H$3:H$5,"#")</f>
        <v>0</v>
      </c>
      <c r="I95" s="72" t="e">
        <f>_xll.GetCtData("PKAMOUNT","AMOUNT",$A$1:$A$3,$A95:$B95,I$3:I$5,"#")*12/#REF!</f>
        <v>#REF!</v>
      </c>
      <c r="J95" s="72">
        <f>_xll.GetCtData("PKAMOUNT","AMOUNT",$A$1:$A$3,$A95:$B95,J$3:J$5,"#")</f>
        <v>0</v>
      </c>
      <c r="K95" s="111">
        <f>_xll.GetCtData("PKAMOUNT","AMOUNT",$A$1:$A$3,$A95:$B95,K$3:K$5,"#")</f>
        <v>0</v>
      </c>
      <c r="L95" s="111">
        <f>_xll.GetCtData("PKAMOUNT","AMOUNT",$A$1:$A$3,$A95:$B95,L$3:L$5,"#")</f>
        <v>0</v>
      </c>
      <c r="M95" s="72">
        <f>_xll.GetCtData("PKAMOUNT","AMOUNT",$A$1:$A$3,$A95:$B95,M$3:M$5,"#")*12</f>
        <v>0</v>
      </c>
      <c r="N95" s="72" t="e">
        <f>IF(N$1&lt;=#REF!,_xll.GetCtData("PKAMOUNT","AMOUNT",$A$1:$A$3,$A95:$B95,N$3:N$5,"#")*12-SUM($M95:M95),0)</f>
        <v>#REF!</v>
      </c>
      <c r="O95" s="72" t="e">
        <f>IF(O$1&lt;=#REF!,_xll.GetCtData("PKAMOUNT","AMOUNT",$A$1:$A$3,$A95:$B95,O$3:O$5,"#")*12-SUM($M95:N95),0)</f>
        <v>#REF!</v>
      </c>
      <c r="P95" s="72" t="e">
        <f>IF(P$1&lt;=#REF!,_xll.GetCtData("PKAMOUNT","AMOUNT",$A$1:$A$3,$A95:$B95,P$3:P$5,"#")*12-SUM($M95:O95),0)</f>
        <v>#REF!</v>
      </c>
      <c r="Q95" s="72" t="e">
        <f>IF(Q$1&lt;=#REF!,_xll.GetCtData("PKAMOUNT","AMOUNT",$A$1:$A$3,$A95:$B95,Q$3:Q$5,"#")*12-SUM($M95:P95),0)</f>
        <v>#REF!</v>
      </c>
      <c r="R95" s="72" t="e">
        <f>IF(R$1&lt;=#REF!,_xll.GetCtData("PKAMOUNT","AMOUNT",$A$1:$A$3,$A95:$B95,R$3:R$5,"#")*12-SUM($M95:Q95),0)</f>
        <v>#REF!</v>
      </c>
      <c r="S95" s="72" t="e">
        <f>IF(S$1&lt;=#REF!,_xll.GetCtData("PKAMOUNT","AMOUNT",$A$1:$A$3,$A95:$B95,S$3:S$5,"#")*12-SUM($M95:R95),0)</f>
        <v>#REF!</v>
      </c>
      <c r="T95" s="72" t="e">
        <f>IF(T$1&lt;=#REF!,_xll.GetCtData("PKAMOUNT","AMOUNT",$A$1:$A$3,$A95:$B95,T$3:T$5,"#")*12-SUM($M95:S95),0)</f>
        <v>#REF!</v>
      </c>
      <c r="U95" s="72" t="e">
        <f>IF(U$1&lt;=#REF!,_xll.GetCtData("PKAMOUNT","AMOUNT",$A$1:$A$3,$A95:$B95,U$3:U$5,"#")*12-SUM($M95:T95),0)</f>
        <v>#REF!</v>
      </c>
      <c r="V95" s="72" t="e">
        <f>IF(V$1&lt;=#REF!,_xll.GetCtData("PKAMOUNT","AMOUNT",$A$1:$A$3,$A95:$B95,V$3:V$5,"#")*12-SUM($M95:U95),0)</f>
        <v>#REF!</v>
      </c>
      <c r="W95" s="72" t="e">
        <f>IF(W$1&lt;=#REF!,_xll.GetCtData("PKAMOUNT","AMOUNT",$A$1:$A$3,$A95:$B95,W$3:W$5,"#")*12-SUM($M95:V95),0)</f>
        <v>#REF!</v>
      </c>
      <c r="X95" s="72" t="e">
        <f>IF(X$1&lt;=#REF!,_xll.GetCtData("PKAMOUNT","AMOUNT",$A$1:$A$3,$A95:$B95,X$3:X$5,"#")*12-SUM($M95:W95),0)</f>
        <v>#REF!</v>
      </c>
      <c r="Y95" s="72" t="e">
        <f>_xll.GetCtData("PKAMOUNT","AMOUNT",$A$1:$A$3,$A95:$B95,Y$3:Y$5,"#")*12/#REF!</f>
        <v>#REF!</v>
      </c>
      <c r="Z95" s="34"/>
      <c r="AA95" s="72">
        <f t="shared" ref="AA95:AA101" si="69">$K95</f>
        <v>0</v>
      </c>
      <c r="AB95" s="73" t="e">
        <f t="shared" ref="AB95:AB101" si="70">ROUND($Y95-AA95,2)</f>
        <v>#REF!</v>
      </c>
      <c r="AC95" s="34"/>
      <c r="AD95" s="72">
        <f t="shared" ref="AD95:AD101" si="71">$L95</f>
        <v>0</v>
      </c>
      <c r="AE95" s="73" t="e">
        <f t="shared" ref="AE95:AE101" si="72">ROUND($Y95-AD95,2)</f>
        <v>#REF!</v>
      </c>
    </row>
    <row r="96" spans="1:31" ht="18" hidden="1" customHeight="1" outlineLevel="1" x14ac:dyDescent="0.2">
      <c r="A96" s="30" t="s">
        <v>36</v>
      </c>
      <c r="B96" s="30" t="s">
        <v>60</v>
      </c>
      <c r="C96" s="4"/>
      <c r="D96" s="4"/>
      <c r="F96" s="51" t="s">
        <v>236</v>
      </c>
      <c r="G96" s="34"/>
      <c r="H96" s="72">
        <f>_xll.GetCtData("PKAMOUNT","AMOUNT",$A$1:$A$3,$A96:$B96,H$3:H$5,"#")</f>
        <v>0</v>
      </c>
      <c r="I96" s="72" t="e">
        <f>_xll.GetCtData("PKAMOUNT","AMOUNT",$A$1:$A$3,$A96:$B96,I$3:I$5,"#")*12/#REF!</f>
        <v>#REF!</v>
      </c>
      <c r="J96" s="72">
        <f>_xll.GetCtData("PKAMOUNT","AMOUNT",$A$1:$A$3,$A96:$B96,J$3:J$5,"#")</f>
        <v>0</v>
      </c>
      <c r="K96" s="111">
        <f>_xll.GetCtData("PKAMOUNT","AMOUNT",$A$1:$A$3,$A96:$B96,K$3:K$5,"#")</f>
        <v>0</v>
      </c>
      <c r="L96" s="111">
        <f>_xll.GetCtData("PKAMOUNT","AMOUNT",$A$1:$A$3,$A96:$B96,L$3:L$5,"#")</f>
        <v>0</v>
      </c>
      <c r="M96" s="72">
        <f>_xll.GetCtData("PKAMOUNT","AMOUNT",$A$1:$A$3,$A96:$B96,M$3:M$5,"#")*12</f>
        <v>0</v>
      </c>
      <c r="N96" s="72" t="e">
        <f>IF(N$1&lt;=#REF!,_xll.GetCtData("PKAMOUNT","AMOUNT",$A$1:$A$3,$A96:$B96,N$3:N$5,"#")*12-SUM($M96:M96),0)</f>
        <v>#REF!</v>
      </c>
      <c r="O96" s="72" t="e">
        <f>IF(O$1&lt;=#REF!,_xll.GetCtData("PKAMOUNT","AMOUNT",$A$1:$A$3,$A96:$B96,O$3:O$5,"#")*12-SUM($M96:N96),0)</f>
        <v>#REF!</v>
      </c>
      <c r="P96" s="72" t="e">
        <f>IF(P$1&lt;=#REF!,_xll.GetCtData("PKAMOUNT","AMOUNT",$A$1:$A$3,$A96:$B96,P$3:P$5,"#")*12-SUM($M96:O96),0)</f>
        <v>#REF!</v>
      </c>
      <c r="Q96" s="72" t="e">
        <f>IF(Q$1&lt;=#REF!,_xll.GetCtData("PKAMOUNT","AMOUNT",$A$1:$A$3,$A96:$B96,Q$3:Q$5,"#")*12-SUM($M96:P96),0)</f>
        <v>#REF!</v>
      </c>
      <c r="R96" s="72" t="e">
        <f>IF(R$1&lt;=#REF!,_xll.GetCtData("PKAMOUNT","AMOUNT",$A$1:$A$3,$A96:$B96,R$3:R$5,"#")*12-SUM($M96:Q96),0)</f>
        <v>#REF!</v>
      </c>
      <c r="S96" s="72" t="e">
        <f>IF(S$1&lt;=#REF!,_xll.GetCtData("PKAMOUNT","AMOUNT",$A$1:$A$3,$A96:$B96,S$3:S$5,"#")*12-SUM($M96:R96),0)</f>
        <v>#REF!</v>
      </c>
      <c r="T96" s="72" t="e">
        <f>IF(T$1&lt;=#REF!,_xll.GetCtData("PKAMOUNT","AMOUNT",$A$1:$A$3,$A96:$B96,T$3:T$5,"#")*12-SUM($M96:S96),0)</f>
        <v>#REF!</v>
      </c>
      <c r="U96" s="72" t="e">
        <f>IF(U$1&lt;=#REF!,_xll.GetCtData("PKAMOUNT","AMOUNT",$A$1:$A$3,$A96:$B96,U$3:U$5,"#")*12-SUM($M96:T96),0)</f>
        <v>#REF!</v>
      </c>
      <c r="V96" s="72" t="e">
        <f>IF(V$1&lt;=#REF!,_xll.GetCtData("PKAMOUNT","AMOUNT",$A$1:$A$3,$A96:$B96,V$3:V$5,"#")*12-SUM($M96:U96),0)</f>
        <v>#REF!</v>
      </c>
      <c r="W96" s="72" t="e">
        <f>IF(W$1&lt;=#REF!,_xll.GetCtData("PKAMOUNT","AMOUNT",$A$1:$A$3,$A96:$B96,W$3:W$5,"#")*12-SUM($M96:V96),0)</f>
        <v>#REF!</v>
      </c>
      <c r="X96" s="72" t="e">
        <f>IF(X$1&lt;=#REF!,_xll.GetCtData("PKAMOUNT","AMOUNT",$A$1:$A$3,$A96:$B96,X$3:X$5,"#")*12-SUM($M96:W96),0)</f>
        <v>#REF!</v>
      </c>
      <c r="Y96" s="72" t="e">
        <f>_xll.GetCtData("PKAMOUNT","AMOUNT",$A$1:$A$3,$A96:$B96,Y$3:Y$5,"#")*12/#REF!</f>
        <v>#REF!</v>
      </c>
      <c r="Z96" s="34"/>
      <c r="AA96" s="72">
        <f t="shared" si="69"/>
        <v>0</v>
      </c>
      <c r="AB96" s="73" t="e">
        <f t="shared" si="70"/>
        <v>#REF!</v>
      </c>
      <c r="AC96" s="34"/>
      <c r="AD96" s="72">
        <f t="shared" si="71"/>
        <v>0</v>
      </c>
      <c r="AE96" s="73" t="e">
        <f t="shared" si="72"/>
        <v>#REF!</v>
      </c>
    </row>
    <row r="97" spans="1:31" ht="18" hidden="1" customHeight="1" outlineLevel="1" x14ac:dyDescent="0.2">
      <c r="A97" s="30" t="s">
        <v>36</v>
      </c>
      <c r="B97" s="30" t="s">
        <v>61</v>
      </c>
      <c r="C97" s="4"/>
      <c r="D97" s="4"/>
      <c r="F97" s="51" t="s">
        <v>237</v>
      </c>
      <c r="G97" s="34"/>
      <c r="H97" s="72">
        <f>_xll.GetCtData("PKAMOUNT","AMOUNT",$A$1:$A$3,$A97:$B97,H$3:H$5,"#")</f>
        <v>0</v>
      </c>
      <c r="I97" s="72" t="e">
        <f>_xll.GetCtData("PKAMOUNT","AMOUNT",$A$1:$A$3,$A97:$B97,I$3:I$5,"#")*12/#REF!</f>
        <v>#REF!</v>
      </c>
      <c r="J97" s="72">
        <f>_xll.GetCtData("PKAMOUNT","AMOUNT",$A$1:$A$3,$A97:$B97,J$3:J$5,"#")</f>
        <v>0</v>
      </c>
      <c r="K97" s="111">
        <f>_xll.GetCtData("PKAMOUNT","AMOUNT",$A$1:$A$3,$A97:$B97,K$3:K$5,"#")</f>
        <v>0</v>
      </c>
      <c r="L97" s="111">
        <f>_xll.GetCtData("PKAMOUNT","AMOUNT",$A$1:$A$3,$A97:$B97,L$3:L$5,"#")</f>
        <v>0</v>
      </c>
      <c r="M97" s="72">
        <f>_xll.GetCtData("PKAMOUNT","AMOUNT",$A$1:$A$3,$A97:$B97,M$3:M$5,"#")*12</f>
        <v>0</v>
      </c>
      <c r="N97" s="72" t="e">
        <f>IF(N$1&lt;=#REF!,_xll.GetCtData("PKAMOUNT","AMOUNT",$A$1:$A$3,$A97:$B97,N$3:N$5,"#")*12-SUM($M97:M97),0)</f>
        <v>#REF!</v>
      </c>
      <c r="O97" s="72" t="e">
        <f>IF(O$1&lt;=#REF!,_xll.GetCtData("PKAMOUNT","AMOUNT",$A$1:$A$3,$A97:$B97,O$3:O$5,"#")*12-SUM($M97:N97),0)</f>
        <v>#REF!</v>
      </c>
      <c r="P97" s="72" t="e">
        <f>IF(P$1&lt;=#REF!,_xll.GetCtData("PKAMOUNT","AMOUNT",$A$1:$A$3,$A97:$B97,P$3:P$5,"#")*12-SUM($M97:O97),0)</f>
        <v>#REF!</v>
      </c>
      <c r="Q97" s="72" t="e">
        <f>IF(Q$1&lt;=#REF!,_xll.GetCtData("PKAMOUNT","AMOUNT",$A$1:$A$3,$A97:$B97,Q$3:Q$5,"#")*12-SUM($M97:P97),0)</f>
        <v>#REF!</v>
      </c>
      <c r="R97" s="72" t="e">
        <f>IF(R$1&lt;=#REF!,_xll.GetCtData("PKAMOUNT","AMOUNT",$A$1:$A$3,$A97:$B97,R$3:R$5,"#")*12-SUM($M97:Q97),0)</f>
        <v>#REF!</v>
      </c>
      <c r="S97" s="72" t="e">
        <f>IF(S$1&lt;=#REF!,_xll.GetCtData("PKAMOUNT","AMOUNT",$A$1:$A$3,$A97:$B97,S$3:S$5,"#")*12-SUM($M97:R97),0)</f>
        <v>#REF!</v>
      </c>
      <c r="T97" s="72" t="e">
        <f>IF(T$1&lt;=#REF!,_xll.GetCtData("PKAMOUNT","AMOUNT",$A$1:$A$3,$A97:$B97,T$3:T$5,"#")*12-SUM($M97:S97),0)</f>
        <v>#REF!</v>
      </c>
      <c r="U97" s="72" t="e">
        <f>IF(U$1&lt;=#REF!,_xll.GetCtData("PKAMOUNT","AMOUNT",$A$1:$A$3,$A97:$B97,U$3:U$5,"#")*12-SUM($M97:T97),0)</f>
        <v>#REF!</v>
      </c>
      <c r="V97" s="72" t="e">
        <f>IF(V$1&lt;=#REF!,_xll.GetCtData("PKAMOUNT","AMOUNT",$A$1:$A$3,$A97:$B97,V$3:V$5,"#")*12-SUM($M97:U97),0)</f>
        <v>#REF!</v>
      </c>
      <c r="W97" s="72" t="e">
        <f>IF(W$1&lt;=#REF!,_xll.GetCtData("PKAMOUNT","AMOUNT",$A$1:$A$3,$A97:$B97,W$3:W$5,"#")*12-SUM($M97:V97),0)</f>
        <v>#REF!</v>
      </c>
      <c r="X97" s="72" t="e">
        <f>IF(X$1&lt;=#REF!,_xll.GetCtData("PKAMOUNT","AMOUNT",$A$1:$A$3,$A97:$B97,X$3:X$5,"#")*12-SUM($M97:W97),0)</f>
        <v>#REF!</v>
      </c>
      <c r="Y97" s="72" t="e">
        <f>_xll.GetCtData("PKAMOUNT","AMOUNT",$A$1:$A$3,$A97:$B97,Y$3:Y$5,"#")*12/#REF!</f>
        <v>#REF!</v>
      </c>
      <c r="Z97" s="34"/>
      <c r="AA97" s="72">
        <f t="shared" si="69"/>
        <v>0</v>
      </c>
      <c r="AB97" s="73" t="e">
        <f t="shared" si="70"/>
        <v>#REF!</v>
      </c>
      <c r="AC97" s="34"/>
      <c r="AD97" s="72">
        <f t="shared" si="71"/>
        <v>0</v>
      </c>
      <c r="AE97" s="73" t="e">
        <f t="shared" si="72"/>
        <v>#REF!</v>
      </c>
    </row>
    <row r="98" spans="1:31" ht="18" hidden="1" customHeight="1" outlineLevel="1" x14ac:dyDescent="0.2">
      <c r="A98" s="30" t="s">
        <v>36</v>
      </c>
      <c r="B98" s="30" t="s">
        <v>62</v>
      </c>
      <c r="C98" s="4"/>
      <c r="D98" s="4"/>
      <c r="F98" s="51" t="s">
        <v>238</v>
      </c>
      <c r="G98" s="34"/>
      <c r="H98" s="72">
        <f>_xll.GetCtData("PKAMOUNT","AMOUNT",$A$1:$A$3,$A98:$B98,H$3:H$5,"#")</f>
        <v>0</v>
      </c>
      <c r="I98" s="72" t="e">
        <f>_xll.GetCtData("PKAMOUNT","AMOUNT",$A$1:$A$3,$A98:$B98,I$3:I$5,"#")*12/#REF!</f>
        <v>#REF!</v>
      </c>
      <c r="J98" s="72">
        <f>_xll.GetCtData("PKAMOUNT","AMOUNT",$A$1:$A$3,$A98:$B98,J$3:J$5,"#")</f>
        <v>0</v>
      </c>
      <c r="K98" s="111">
        <f>_xll.GetCtData("PKAMOUNT","AMOUNT",$A$1:$A$3,$A98:$B98,K$3:K$5,"#")</f>
        <v>0</v>
      </c>
      <c r="L98" s="111">
        <f>_xll.GetCtData("PKAMOUNT","AMOUNT",$A$1:$A$3,$A98:$B98,L$3:L$5,"#")</f>
        <v>0</v>
      </c>
      <c r="M98" s="72">
        <f>_xll.GetCtData("PKAMOUNT","AMOUNT",$A$1:$A$3,$A98:$B98,M$3:M$5,"#")*12</f>
        <v>0</v>
      </c>
      <c r="N98" s="72" t="e">
        <f>IF(N$1&lt;=#REF!,_xll.GetCtData("PKAMOUNT","AMOUNT",$A$1:$A$3,$A98:$B98,N$3:N$5,"#")*12-SUM($M98:M98),0)</f>
        <v>#REF!</v>
      </c>
      <c r="O98" s="72" t="e">
        <f>IF(O$1&lt;=#REF!,_xll.GetCtData("PKAMOUNT","AMOUNT",$A$1:$A$3,$A98:$B98,O$3:O$5,"#")*12-SUM($M98:N98),0)</f>
        <v>#REF!</v>
      </c>
      <c r="P98" s="72" t="e">
        <f>IF(P$1&lt;=#REF!,_xll.GetCtData("PKAMOUNT","AMOUNT",$A$1:$A$3,$A98:$B98,P$3:P$5,"#")*12-SUM($M98:O98),0)</f>
        <v>#REF!</v>
      </c>
      <c r="Q98" s="72" t="e">
        <f>IF(Q$1&lt;=#REF!,_xll.GetCtData("PKAMOUNT","AMOUNT",$A$1:$A$3,$A98:$B98,Q$3:Q$5,"#")*12-SUM($M98:P98),0)</f>
        <v>#REF!</v>
      </c>
      <c r="R98" s="72" t="e">
        <f>IF(R$1&lt;=#REF!,_xll.GetCtData("PKAMOUNT","AMOUNT",$A$1:$A$3,$A98:$B98,R$3:R$5,"#")*12-SUM($M98:Q98),0)</f>
        <v>#REF!</v>
      </c>
      <c r="S98" s="72" t="e">
        <f>IF(S$1&lt;=#REF!,_xll.GetCtData("PKAMOUNT","AMOUNT",$A$1:$A$3,$A98:$B98,S$3:S$5,"#")*12-SUM($M98:R98),0)</f>
        <v>#REF!</v>
      </c>
      <c r="T98" s="72" t="e">
        <f>IF(T$1&lt;=#REF!,_xll.GetCtData("PKAMOUNT","AMOUNT",$A$1:$A$3,$A98:$B98,T$3:T$5,"#")*12-SUM($M98:S98),0)</f>
        <v>#REF!</v>
      </c>
      <c r="U98" s="72" t="e">
        <f>IF(U$1&lt;=#REF!,_xll.GetCtData("PKAMOUNT","AMOUNT",$A$1:$A$3,$A98:$B98,U$3:U$5,"#")*12-SUM($M98:T98),0)</f>
        <v>#REF!</v>
      </c>
      <c r="V98" s="72" t="e">
        <f>IF(V$1&lt;=#REF!,_xll.GetCtData("PKAMOUNT","AMOUNT",$A$1:$A$3,$A98:$B98,V$3:V$5,"#")*12-SUM($M98:U98),0)</f>
        <v>#REF!</v>
      </c>
      <c r="W98" s="72" t="e">
        <f>IF(W$1&lt;=#REF!,_xll.GetCtData("PKAMOUNT","AMOUNT",$A$1:$A$3,$A98:$B98,W$3:W$5,"#")*12-SUM($M98:V98),0)</f>
        <v>#REF!</v>
      </c>
      <c r="X98" s="72" t="e">
        <f>IF(X$1&lt;=#REF!,_xll.GetCtData("PKAMOUNT","AMOUNT",$A$1:$A$3,$A98:$B98,X$3:X$5,"#")*12-SUM($M98:W98),0)</f>
        <v>#REF!</v>
      </c>
      <c r="Y98" s="72" t="e">
        <f>_xll.GetCtData("PKAMOUNT","AMOUNT",$A$1:$A$3,$A98:$B98,Y$3:Y$5,"#")*12/#REF!</f>
        <v>#REF!</v>
      </c>
      <c r="Z98" s="34"/>
      <c r="AA98" s="72">
        <f t="shared" si="69"/>
        <v>0</v>
      </c>
      <c r="AB98" s="73" t="e">
        <f t="shared" si="70"/>
        <v>#REF!</v>
      </c>
      <c r="AC98" s="34"/>
      <c r="AD98" s="72">
        <f t="shared" si="71"/>
        <v>0</v>
      </c>
      <c r="AE98" s="73" t="e">
        <f t="shared" si="72"/>
        <v>#REF!</v>
      </c>
    </row>
    <row r="99" spans="1:31" ht="18" customHeight="1" collapsed="1" x14ac:dyDescent="0.2">
      <c r="A99" s="30" t="s">
        <v>36</v>
      </c>
      <c r="B99" s="30" t="s">
        <v>18</v>
      </c>
      <c r="C99" s="4"/>
      <c r="D99" s="4"/>
      <c r="F99" s="97" t="s">
        <v>239</v>
      </c>
      <c r="H99" s="74">
        <f>_xll.GetCtData("PKAMOUNT","AMOUNT",$A$1:$A$3,$A99:$B99,H$3:H$5,"#")</f>
        <v>0</v>
      </c>
      <c r="I99" s="74" t="e">
        <f>_xll.GetCtData("PKAMOUNT","AMOUNT",$A$1:$A$3,$A99:$B99,I$3:I$5,"#")*12/#REF!</f>
        <v>#REF!</v>
      </c>
      <c r="J99" s="74">
        <f>_xll.GetCtData("PKAMOUNT","AMOUNT",$A$1:$A$3,$A99:$B99,J$3:J$5,"#")</f>
        <v>0</v>
      </c>
      <c r="K99" s="112">
        <f>_xll.GetCtData("PKAMOUNT","AMOUNT",$A$1:$A$3,$A99:$B99,K$3:K$5,"#")</f>
        <v>0</v>
      </c>
      <c r="L99" s="112">
        <f>_xll.GetCtData("PKAMOUNT","AMOUNT",$A$1:$A$3,$A99:$B99,L$3:L$5,"#")</f>
        <v>0</v>
      </c>
      <c r="M99" s="74">
        <f>_xll.GetCtData("PKAMOUNT","AMOUNT",$A$1:$A$3,$A99:$B99,M$3:M$5,"#")*12</f>
        <v>0</v>
      </c>
      <c r="N99" s="74" t="e">
        <f>IF(N$1&lt;=#REF!,_xll.GetCtData("PKAMOUNT","AMOUNT",$A$1:$A$3,$A99:$B99,N$3:N$5,"#")*12-SUM($M99:M99),0)</f>
        <v>#REF!</v>
      </c>
      <c r="O99" s="74" t="e">
        <f>IF(O$1&lt;=#REF!,_xll.GetCtData("PKAMOUNT","AMOUNT",$A$1:$A$3,$A99:$B99,O$3:O$5,"#")*12-SUM($M99:N99),0)</f>
        <v>#REF!</v>
      </c>
      <c r="P99" s="74" t="e">
        <f>IF(P$1&lt;=#REF!,_xll.GetCtData("PKAMOUNT","AMOUNT",$A$1:$A$3,$A99:$B99,P$3:P$5,"#")*12-SUM($M99:O99),0)</f>
        <v>#REF!</v>
      </c>
      <c r="Q99" s="74" t="e">
        <f>IF(Q$1&lt;=#REF!,_xll.GetCtData("PKAMOUNT","AMOUNT",$A$1:$A$3,$A99:$B99,Q$3:Q$5,"#")*12-SUM($M99:P99),0)</f>
        <v>#REF!</v>
      </c>
      <c r="R99" s="74" t="e">
        <f>IF(R$1&lt;=#REF!,_xll.GetCtData("PKAMOUNT","AMOUNT",$A$1:$A$3,$A99:$B99,R$3:R$5,"#")*12-SUM($M99:Q99),0)</f>
        <v>#REF!</v>
      </c>
      <c r="S99" s="74" t="e">
        <f>IF(S$1&lt;=#REF!,_xll.GetCtData("PKAMOUNT","AMOUNT",$A$1:$A$3,$A99:$B99,S$3:S$5,"#")*12-SUM($M99:R99),0)</f>
        <v>#REF!</v>
      </c>
      <c r="T99" s="74" t="e">
        <f>IF(T$1&lt;=#REF!,_xll.GetCtData("PKAMOUNT","AMOUNT",$A$1:$A$3,$A99:$B99,T$3:T$5,"#")*12-SUM($M99:S99),0)</f>
        <v>#REF!</v>
      </c>
      <c r="U99" s="74" t="e">
        <f>IF(U$1&lt;=#REF!,_xll.GetCtData("PKAMOUNT","AMOUNT",$A$1:$A$3,$A99:$B99,U$3:U$5,"#")*12-SUM($M99:T99),0)</f>
        <v>#REF!</v>
      </c>
      <c r="V99" s="74" t="e">
        <f>IF(V$1&lt;=#REF!,_xll.GetCtData("PKAMOUNT","AMOUNT",$A$1:$A$3,$A99:$B99,V$3:V$5,"#")*12-SUM($M99:U99),0)</f>
        <v>#REF!</v>
      </c>
      <c r="W99" s="74" t="e">
        <f>IF(W$1&lt;=#REF!,_xll.GetCtData("PKAMOUNT","AMOUNT",$A$1:$A$3,$A99:$B99,W$3:W$5,"#")*12-SUM($M99:V99),0)</f>
        <v>#REF!</v>
      </c>
      <c r="X99" s="74" t="e">
        <f>IF(X$1&lt;=#REF!,_xll.GetCtData("PKAMOUNT","AMOUNT",$A$1:$A$3,$A99:$B99,X$3:X$5,"#")*12-SUM($M99:W99),0)</f>
        <v>#REF!</v>
      </c>
      <c r="Y99" s="74" t="e">
        <f>_xll.GetCtData("PKAMOUNT","AMOUNT",$A$1:$A$3,$A99:$B99,Y$3:Y$5,"#")*12/#REF!</f>
        <v>#REF!</v>
      </c>
      <c r="AA99" s="74">
        <f t="shared" si="69"/>
        <v>0</v>
      </c>
      <c r="AB99" s="73" t="e">
        <f t="shared" si="70"/>
        <v>#REF!</v>
      </c>
      <c r="AD99" s="74">
        <f t="shared" si="71"/>
        <v>0</v>
      </c>
      <c r="AE99" s="73" t="e">
        <f t="shared" si="72"/>
        <v>#REF!</v>
      </c>
    </row>
    <row r="100" spans="1:31" ht="18" hidden="1" customHeight="1" outlineLevel="1" collapsed="1" x14ac:dyDescent="0.2">
      <c r="A100" s="33" t="s">
        <v>211</v>
      </c>
      <c r="B100" s="33" t="s">
        <v>18</v>
      </c>
      <c r="C100" s="4"/>
      <c r="D100" s="4"/>
      <c r="F100" s="98" t="s">
        <v>212</v>
      </c>
      <c r="G100" s="34"/>
      <c r="H100" s="75">
        <f>IF(_xll.GetCtData("PKAMOUNT","AMOUNT",$A$1:$A$3,$A100:$B100,H$3:H$5,"#")=0,H99,_xll.GetCtData("PKAMOUNT","AMOUNT",$A$1:$A$3,$A100:$B100,H$3:H$5,"#"))</f>
        <v>0</v>
      </c>
      <c r="I100" s="75" t="e">
        <f>IF(_xll.GetCtData("PKAMOUNT","AMOUNT",$A$1:$A$3,$A100:$B100,I$3:I$5,"#")*12/#REF!=0,I99,_xll.GetCtData("PKAMOUNT","AMOUNT",$A$1:$A$3,$A100:$B100,I$3:I$5,"#")*12/#REF!)</f>
        <v>#REF!</v>
      </c>
      <c r="J100" s="75">
        <f>IF(_xll.GetCtData("PKAMOUNT","AMOUNT",$A$1:$A$3,$A100:$B100,J$3:J$5,"#")=0,J99,_xll.GetCtData("PKAMOUNT","AMOUNT",$A$1:$A$3,$A100:$B100,J$3:J$5,"#"))</f>
        <v>0</v>
      </c>
      <c r="K100" s="112">
        <f>IF(_xll.GetCtData("PKAMOUNT","AMOUNT",$A$1:$A$3,$A100:$B100,K$3:K$5,"#")=0,K99,_xll.GetCtData("PKAMOUNT","AMOUNT",$A$1:$A$3,$A100:$B100,K$3:K$5,"#"))</f>
        <v>0</v>
      </c>
      <c r="L100" s="112">
        <f>IF(_xll.GetCtData("PKAMOUNT","AMOUNT",$A$1:$A$3,$A100:$B100,L$3:L$5,"#")=0,L99,_xll.GetCtData("PKAMOUNT","AMOUNT",$A$1:$A$3,$A100:$B100,L$3:L$5,"#"))</f>
        <v>0</v>
      </c>
      <c r="M100" s="75">
        <f>IF(_xll.GetCtData("PKAMOUNT","AMOUNT",$A$1:$A$3,$A100:$B100,M$3:M$5,"#")*12=0,M99,_xll.GetCtData("PKAMOUNT","AMOUNT",$A$1:$A$3,$A100:$B100,M$3:M$5,"#")*12)</f>
        <v>0</v>
      </c>
      <c r="N100" s="75" t="e">
        <f>IF(N$1&lt;=#REF!,_xll.GetCtData("PKAMOUNT","AMOUNT",$A$1:$A$3,$A100:$B100,N$3:N$5,"#")*12-SUM($M100:M100),0)</f>
        <v>#REF!</v>
      </c>
      <c r="O100" s="75" t="e">
        <f>IF(O$1&lt;=#REF!,_xll.GetCtData("PKAMOUNT","AMOUNT",$A$1:$A$3,$A100:$B100,O$3:O$5,"#")*12-SUM($M100:N100),0)</f>
        <v>#REF!</v>
      </c>
      <c r="P100" s="75" t="e">
        <f>IF(P$1&lt;=#REF!,_xll.GetCtData("PKAMOUNT","AMOUNT",$A$1:$A$3,$A100:$B100,P$3:P$5,"#")*12-SUM($M100:O100),0)</f>
        <v>#REF!</v>
      </c>
      <c r="Q100" s="75" t="e">
        <f>IF(Q$1&lt;=#REF!,_xll.GetCtData("PKAMOUNT","AMOUNT",$A$1:$A$3,$A100:$B100,Q$3:Q$5,"#")*12-SUM($M100:P100),0)</f>
        <v>#REF!</v>
      </c>
      <c r="R100" s="75" t="e">
        <f>IF(R$1&lt;=#REF!,_xll.GetCtData("PKAMOUNT","AMOUNT",$A$1:$A$3,$A100:$B100,R$3:R$5,"#")*12-SUM($M100:Q100),0)</f>
        <v>#REF!</v>
      </c>
      <c r="S100" s="75" t="e">
        <f>IF(S$1&lt;=#REF!,_xll.GetCtData("PKAMOUNT","AMOUNT",$A$1:$A$3,$A100:$B100,S$3:S$5,"#")*12-SUM($M100:R100),0)</f>
        <v>#REF!</v>
      </c>
      <c r="T100" s="75" t="e">
        <f>IF(T$1&lt;=#REF!,_xll.GetCtData("PKAMOUNT","AMOUNT",$A$1:$A$3,$A100:$B100,T$3:T$5,"#")*12-SUM($M100:S100),0)</f>
        <v>#REF!</v>
      </c>
      <c r="U100" s="75" t="e">
        <f>IF(U$1&lt;=#REF!,_xll.GetCtData("PKAMOUNT","AMOUNT",$A$1:$A$3,$A100:$B100,U$3:U$5,"#")*12-SUM($M100:T100),0)</f>
        <v>#REF!</v>
      </c>
      <c r="V100" s="75" t="e">
        <f>IF(V$1&lt;=#REF!,_xll.GetCtData("PKAMOUNT","AMOUNT",$A$1:$A$3,$A100:$B100,V$3:V$5,"#")*12-SUM($M100:U100),0)</f>
        <v>#REF!</v>
      </c>
      <c r="W100" s="75" t="e">
        <f>IF(W$1&lt;=#REF!,_xll.GetCtData("PKAMOUNT","AMOUNT",$A$1:$A$3,$A100:$B100,W$3:W$5,"#")*12-SUM($M100:V100),0)</f>
        <v>#REF!</v>
      </c>
      <c r="X100" s="75" t="e">
        <f>IF(X$1&lt;=#REF!,_xll.GetCtData("PKAMOUNT","AMOUNT",$A$1:$A$3,$A100:$B100,X$3:X$5,"#")*12-SUM($M100:W100),0)</f>
        <v>#REF!</v>
      </c>
      <c r="Y100" s="75" t="e">
        <f>_xll.GetCtData("PKAMOUNT","AMOUNT",$A$1:$A$3,$A100:$B100,Y$3:Y$5,"#")*12/#REF!</f>
        <v>#REF!</v>
      </c>
      <c r="Z100" s="34"/>
      <c r="AA100" s="75">
        <f t="shared" si="69"/>
        <v>0</v>
      </c>
      <c r="AB100" s="76" t="e">
        <f t="shared" si="70"/>
        <v>#REF!</v>
      </c>
      <c r="AC100" s="34"/>
      <c r="AD100" s="75">
        <f t="shared" si="71"/>
        <v>0</v>
      </c>
      <c r="AE100" s="76" t="e">
        <f t="shared" si="72"/>
        <v>#REF!</v>
      </c>
    </row>
    <row r="101" spans="1:31" ht="18" hidden="1" customHeight="1" outlineLevel="1" collapsed="1" x14ac:dyDescent="0.2">
      <c r="A101" s="35"/>
      <c r="B101" s="35"/>
      <c r="C101" s="4"/>
      <c r="D101" s="4"/>
      <c r="F101" s="97" t="s">
        <v>240</v>
      </c>
      <c r="H101" s="74">
        <f t="shared" ref="H101:Y101" si="73">H100-H99</f>
        <v>0</v>
      </c>
      <c r="I101" s="74" t="e">
        <f t="shared" si="73"/>
        <v>#REF!</v>
      </c>
      <c r="J101" s="74">
        <f t="shared" si="73"/>
        <v>0</v>
      </c>
      <c r="K101" s="112">
        <f t="shared" si="73"/>
        <v>0</v>
      </c>
      <c r="L101" s="112">
        <f t="shared" si="73"/>
        <v>0</v>
      </c>
      <c r="M101" s="74">
        <f t="shared" si="73"/>
        <v>0</v>
      </c>
      <c r="N101" s="74" t="e">
        <f t="shared" si="73"/>
        <v>#REF!</v>
      </c>
      <c r="O101" s="74" t="e">
        <f t="shared" si="73"/>
        <v>#REF!</v>
      </c>
      <c r="P101" s="74" t="e">
        <f t="shared" si="73"/>
        <v>#REF!</v>
      </c>
      <c r="Q101" s="74" t="e">
        <f t="shared" si="73"/>
        <v>#REF!</v>
      </c>
      <c r="R101" s="74" t="e">
        <f t="shared" si="73"/>
        <v>#REF!</v>
      </c>
      <c r="S101" s="74" t="e">
        <f t="shared" ref="S101:T101" si="74">S100-S99</f>
        <v>#REF!</v>
      </c>
      <c r="T101" s="74" t="e">
        <f t="shared" si="74"/>
        <v>#REF!</v>
      </c>
      <c r="U101" s="74" t="e">
        <f t="shared" si="73"/>
        <v>#REF!</v>
      </c>
      <c r="V101" s="74" t="e">
        <f t="shared" si="73"/>
        <v>#REF!</v>
      </c>
      <c r="W101" s="74" t="e">
        <f t="shared" si="73"/>
        <v>#REF!</v>
      </c>
      <c r="X101" s="74" t="e">
        <f t="shared" si="73"/>
        <v>#REF!</v>
      </c>
      <c r="Y101" s="74" t="e">
        <f t="shared" si="73"/>
        <v>#REF!</v>
      </c>
      <c r="AA101" s="74">
        <f t="shared" si="69"/>
        <v>0</v>
      </c>
      <c r="AB101" s="73" t="e">
        <f t="shared" si="70"/>
        <v>#REF!</v>
      </c>
      <c r="AD101" s="74">
        <f t="shared" si="71"/>
        <v>0</v>
      </c>
      <c r="AE101" s="73" t="e">
        <f t="shared" si="72"/>
        <v>#REF!</v>
      </c>
    </row>
    <row r="102" spans="1:31" ht="12.95" hidden="1" customHeight="1" outlineLevel="1" x14ac:dyDescent="0.2">
      <c r="A102" s="35"/>
      <c r="B102" s="35"/>
      <c r="C102" s="4"/>
      <c r="D102" s="4"/>
      <c r="F102" s="39" t="s">
        <v>37</v>
      </c>
      <c r="H102" s="68">
        <f>IF((H99+H101)=0,0,H101/(H99+H101))</f>
        <v>0</v>
      </c>
      <c r="I102" s="68" t="e">
        <f t="shared" ref="I102:Y102" si="75">IF((I99+I101)=0,0,I101/(I99+I101))</f>
        <v>#REF!</v>
      </c>
      <c r="J102" s="68">
        <f t="shared" si="75"/>
        <v>0</v>
      </c>
      <c r="K102" s="113">
        <f t="shared" si="75"/>
        <v>0</v>
      </c>
      <c r="L102" s="113">
        <f t="shared" si="75"/>
        <v>0</v>
      </c>
      <c r="M102" s="68">
        <f t="shared" si="75"/>
        <v>0</v>
      </c>
      <c r="N102" s="68" t="e">
        <f t="shared" si="75"/>
        <v>#REF!</v>
      </c>
      <c r="O102" s="68" t="e">
        <f t="shared" si="75"/>
        <v>#REF!</v>
      </c>
      <c r="P102" s="68" t="e">
        <f t="shared" si="75"/>
        <v>#REF!</v>
      </c>
      <c r="Q102" s="68" t="e">
        <f t="shared" si="75"/>
        <v>#REF!</v>
      </c>
      <c r="R102" s="68" t="e">
        <f t="shared" si="75"/>
        <v>#REF!</v>
      </c>
      <c r="S102" s="68" t="e">
        <f t="shared" ref="S102:T102" si="76">IF((S99+S101)=0,0,S101/(S99+S101))</f>
        <v>#REF!</v>
      </c>
      <c r="T102" s="68" t="e">
        <f t="shared" si="76"/>
        <v>#REF!</v>
      </c>
      <c r="U102" s="68" t="e">
        <f t="shared" si="75"/>
        <v>#REF!</v>
      </c>
      <c r="V102" s="68" t="e">
        <f t="shared" si="75"/>
        <v>#REF!</v>
      </c>
      <c r="W102" s="68" t="e">
        <f t="shared" si="75"/>
        <v>#REF!</v>
      </c>
      <c r="X102" s="68" t="e">
        <f t="shared" si="75"/>
        <v>#REF!</v>
      </c>
      <c r="Y102" s="68" t="e">
        <f t="shared" si="75"/>
        <v>#REF!</v>
      </c>
      <c r="AA102" s="68">
        <f t="shared" ref="AA102" si="77">IF((AA99+AA101)=0,0,AA101/(AA99+AA101))</f>
        <v>0</v>
      </c>
      <c r="AB102" s="69"/>
      <c r="AD102" s="68">
        <f t="shared" ref="AD102" si="78">IF((AD99+AD101)=0,0,AD101/(AD99+AD101))</f>
        <v>0</v>
      </c>
      <c r="AE102" s="69"/>
    </row>
    <row r="103" spans="1:31" ht="18" customHeight="1" collapsed="1" x14ac:dyDescent="0.2">
      <c r="A103" s="30" t="s">
        <v>220</v>
      </c>
      <c r="B103" s="30" t="s">
        <v>18</v>
      </c>
      <c r="C103" s="4" t="e">
        <f t="shared" ref="C103:C108" si="79">IF(AND($Y103=0,AA103=0),0,IF(AA103=0,IF($Y103&gt;=0,AB103/$Y103,-AB103/$Y103),IF(AA103&gt;=0,AB103/AA103,-AB103/AA103)))</f>
        <v>#REF!</v>
      </c>
      <c r="D103" s="4" t="e">
        <f t="shared" ref="D103:D108" si="80">IF(AND($Y103=0,AD103=0),0,IF(AD103=0,IF($Y103&gt;=0,AE103/$Y103,-AE103/$Y103),IF(AD103&gt;=0,AE103/AD103,-AE103/AD103)))</f>
        <v>#REF!</v>
      </c>
      <c r="F103" s="106" t="s">
        <v>66</v>
      </c>
      <c r="H103" s="61">
        <f>_xll.GetCtData("PKAMOUNT","AMOUNT",$A$1:$A$3,$A103:$B103,H$3:H$5,"#")</f>
        <v>0</v>
      </c>
      <c r="I103" s="61">
        <f>_xll.GetCtData("PKAMOUNT","AMOUNT",$A$1:$A$3,$A103:$B103,I$3:I$5,"#")</f>
        <v>0</v>
      </c>
      <c r="J103" s="61">
        <f>_xll.GetCtData("PKAMOUNT","AMOUNT",$A$1:$A$3,$A103:$B103,J$3:J$5,"#")</f>
        <v>0</v>
      </c>
      <c r="K103" s="86">
        <f>_xll.GetCtData("PKAMOUNT","AMOUNT",$A$1:$A$3,$A103:$B103,K$3:K$5,"#")</f>
        <v>0</v>
      </c>
      <c r="L103" s="86">
        <f>_xll.GetCtData("PKAMOUNT","AMOUNT",$A$1:$A$3,$A103:$B103,L$3:L$5,"#")</f>
        <v>0</v>
      </c>
      <c r="M103" s="61">
        <f>_xll.GetCtData("PKAMOUNT","AMOUNT",$A$1:$A$3,$A103:$B103,M$3:M$5,"#")</f>
        <v>0</v>
      </c>
      <c r="N103" s="61" t="e">
        <f>IF(N$1&lt;=#REF!,_xll.GetCtData("PKAMOUNT","AMOUNT",$A$1:$A$3,$A103:$B103,N$3:N$5,"#")-SUM($M103:M103),0)</f>
        <v>#REF!</v>
      </c>
      <c r="O103" s="61" t="e">
        <f>IF(O$1&lt;=#REF!,_xll.GetCtData("PKAMOUNT","AMOUNT",$A$1:$A$3,$A103:$B103,O$3:O$5,"#")-SUM($M103:N103),0)</f>
        <v>#REF!</v>
      </c>
      <c r="P103" s="61" t="e">
        <f>IF(P$1&lt;=#REF!,_xll.GetCtData("PKAMOUNT","AMOUNT",$A$1:$A$3,$A103:$B103,P$3:P$5,"#")-SUM($M103:O103),0)</f>
        <v>#REF!</v>
      </c>
      <c r="Q103" s="61" t="e">
        <f>IF(Q$1&lt;=#REF!,_xll.GetCtData("PKAMOUNT","AMOUNT",$A$1:$A$3,$A103:$B103,Q$3:Q$5,"#")-SUM($M103:P103),0)</f>
        <v>#REF!</v>
      </c>
      <c r="R103" s="61" t="e">
        <f>IF(R$1&lt;=#REF!,_xll.GetCtData("PKAMOUNT","AMOUNT",$A$1:$A$3,$A103:$B103,R$3:R$5,"#")-SUM($M103:Q103),0)</f>
        <v>#REF!</v>
      </c>
      <c r="S103" s="61" t="e">
        <f>IF(S$1&lt;=#REF!,_xll.GetCtData("PKAMOUNT","AMOUNT",$A$1:$A$3,$A103:$B103,S$3:S$5,"#")-SUM($M103:R103),0)</f>
        <v>#REF!</v>
      </c>
      <c r="T103" s="61" t="e">
        <f>IF(T$1&lt;=#REF!,_xll.GetCtData("PKAMOUNT","AMOUNT",$A$1:$A$3,$A103:$B103,T$3:T$5,"#")-SUM($M103:S103),0)</f>
        <v>#REF!</v>
      </c>
      <c r="U103" s="61" t="e">
        <f>IF(U$1&lt;=#REF!,_xll.GetCtData("PKAMOUNT","AMOUNT",$A$1:$A$3,$A103:$B103,U$3:U$5,"#")-SUM($M103:T103),0)</f>
        <v>#REF!</v>
      </c>
      <c r="V103" s="61" t="e">
        <f>IF(V$1&lt;=#REF!,_xll.GetCtData("PKAMOUNT","AMOUNT",$A$1:$A$3,$A103:$B103,V$3:V$5,"#")-SUM($M103:U103),0)</f>
        <v>#REF!</v>
      </c>
      <c r="W103" s="61" t="e">
        <f>IF(W$1&lt;=#REF!,_xll.GetCtData("PKAMOUNT","AMOUNT",$A$1:$A$3,$A103:$B103,W$3:W$5,"#")-SUM($M103:V103),0)</f>
        <v>#REF!</v>
      </c>
      <c r="X103" s="61" t="e">
        <f>IF(X$1&lt;=#REF!,_xll.GetCtData("PKAMOUNT","AMOUNT",$A$1:$A$3,$A103:$B103,X$3:X$5,"#")-SUM($M103:W103),0)</f>
        <v>#REF!</v>
      </c>
      <c r="Y103" s="61">
        <f>_xll.GetCtData("PKAMOUNT","AMOUNT",$A$1:$A$3,$A103:$B103,Y$3:Y$5,"#")</f>
        <v>0</v>
      </c>
      <c r="AA103" s="61" t="e">
        <f>$K103*#REF!/12</f>
        <v>#REF!</v>
      </c>
      <c r="AB103" s="60" t="e">
        <f t="shared" ref="AB103:AB111" si="81">ROUND($Y103-AA103,2)</f>
        <v>#REF!</v>
      </c>
      <c r="AD103" s="61" t="e">
        <f>$L103*#REF!/12</f>
        <v>#REF!</v>
      </c>
      <c r="AE103" s="60" t="e">
        <f t="shared" ref="AE103:AE111" si="82">ROUND($Y103-AD103,2)</f>
        <v>#REF!</v>
      </c>
    </row>
    <row r="104" spans="1:31" ht="18" customHeight="1" x14ac:dyDescent="0.2">
      <c r="A104" s="30" t="s">
        <v>218</v>
      </c>
      <c r="B104" s="30" t="s">
        <v>18</v>
      </c>
      <c r="C104" s="4" t="e">
        <f t="shared" si="79"/>
        <v>#REF!</v>
      </c>
      <c r="D104" s="4" t="e">
        <f t="shared" si="80"/>
        <v>#REF!</v>
      </c>
      <c r="F104" s="104" t="s">
        <v>219</v>
      </c>
      <c r="G104" s="36"/>
      <c r="H104" s="65">
        <f>_xll.GetCtData("PKAMOUNT","AMOUNT",$A$1:$A$3,$A104:$B104,H$3:H$5,"#")</f>
        <v>0</v>
      </c>
      <c r="I104" s="65">
        <f>_xll.GetCtData("PKAMOUNT","AMOUNT",$A$1:$A$3,$A104:$B104,I$3:I$5,"#")</f>
        <v>0</v>
      </c>
      <c r="J104" s="65">
        <f>_xll.GetCtData("PKAMOUNT","AMOUNT",$A$1:$A$3,$A104:$B104,J$3:J$5,"#")</f>
        <v>0</v>
      </c>
      <c r="K104" s="65">
        <f>_xll.GetCtData("PKAMOUNT","AMOUNT",$A$1:$A$3,$A104:$B104,K$3:K$5,"#")</f>
        <v>0</v>
      </c>
      <c r="L104" s="65">
        <f>_xll.GetCtData("PKAMOUNT","AMOUNT",$A$1:$A$3,$A104:$B104,L$3:L$5,"#")</f>
        <v>0</v>
      </c>
      <c r="M104" s="65">
        <f>_xll.GetCtData("PKAMOUNT","AMOUNT",$A$1:$A$3,$A104:$B104,M$3:M$5,"#")</f>
        <v>0</v>
      </c>
      <c r="N104" s="65" t="e">
        <f>IF(N$1&lt;=#REF!,_xll.GetCtData("PKAMOUNT","AMOUNT",$A$1:$A$3,$A104:$B104,N$3:N$5,"#")-SUM($M104:M104),0)</f>
        <v>#REF!</v>
      </c>
      <c r="O104" s="65" t="e">
        <f>IF(O$1&lt;=#REF!,_xll.GetCtData("PKAMOUNT","AMOUNT",$A$1:$A$3,$A104:$B104,O$3:O$5,"#")-SUM($M104:N104),0)</f>
        <v>#REF!</v>
      </c>
      <c r="P104" s="65" t="e">
        <f>IF(P$1&lt;=#REF!,_xll.GetCtData("PKAMOUNT","AMOUNT",$A$1:$A$3,$A104:$B104,P$3:P$5,"#")-SUM($M104:O104),0)</f>
        <v>#REF!</v>
      </c>
      <c r="Q104" s="65" t="e">
        <f>IF(Q$1&lt;=#REF!,_xll.GetCtData("PKAMOUNT","AMOUNT",$A$1:$A$3,$A104:$B104,Q$3:Q$5,"#")-SUM($M104:P104),0)</f>
        <v>#REF!</v>
      </c>
      <c r="R104" s="65" t="e">
        <f>IF(R$1&lt;=#REF!,_xll.GetCtData("PKAMOUNT","AMOUNT",$A$1:$A$3,$A104:$B104,R$3:R$5,"#")-SUM($M104:Q104),0)</f>
        <v>#REF!</v>
      </c>
      <c r="S104" s="65" t="e">
        <f>IF(S$1&lt;=#REF!,_xll.GetCtData("PKAMOUNT","AMOUNT",$A$1:$A$3,$A104:$B104,S$3:S$5,"#")-SUM($M104:R104),0)</f>
        <v>#REF!</v>
      </c>
      <c r="T104" s="65" t="e">
        <f>IF(T$1&lt;=#REF!,_xll.GetCtData("PKAMOUNT","AMOUNT",$A$1:$A$3,$A104:$B104,T$3:T$5,"#")-SUM($M104:S104),0)</f>
        <v>#REF!</v>
      </c>
      <c r="U104" s="65" t="e">
        <f>IF(U$1&lt;=#REF!,_xll.GetCtData("PKAMOUNT","AMOUNT",$A$1:$A$3,$A104:$B104,U$3:U$5,"#")-SUM($M104:T104),0)</f>
        <v>#REF!</v>
      </c>
      <c r="V104" s="65" t="e">
        <f>IF(V$1&lt;=#REF!,_xll.GetCtData("PKAMOUNT","AMOUNT",$A$1:$A$3,$A104:$B104,V$3:V$5,"#")-SUM($M104:U104),0)</f>
        <v>#REF!</v>
      </c>
      <c r="W104" s="65" t="e">
        <f>IF(W$1&lt;=#REF!,_xll.GetCtData("PKAMOUNT","AMOUNT",$A$1:$A$3,$A104:$B104,W$3:W$5,"#")-SUM($M104:V104),0)</f>
        <v>#REF!</v>
      </c>
      <c r="X104" s="65" t="e">
        <f>IF(X$1&lt;=#REF!,_xll.GetCtData("PKAMOUNT","AMOUNT",$A$1:$A$3,$A104:$B104,X$3:X$5,"#")-SUM($M104:W104),0)</f>
        <v>#REF!</v>
      </c>
      <c r="Y104" s="65">
        <f>_xll.GetCtData("PKAMOUNT","AMOUNT",$A$1:$A$3,$A104:$B104,Y$3:Y$5,"#")</f>
        <v>0</v>
      </c>
      <c r="Z104" s="36"/>
      <c r="AA104" s="65" t="e">
        <f>$K104*#REF!/12</f>
        <v>#REF!</v>
      </c>
      <c r="AB104" s="60" t="e">
        <f t="shared" si="81"/>
        <v>#REF!</v>
      </c>
      <c r="AC104" s="36"/>
      <c r="AD104" s="65" t="e">
        <f>$L104*#REF!/12</f>
        <v>#REF!</v>
      </c>
      <c r="AE104" s="60" t="e">
        <f t="shared" si="82"/>
        <v>#REF!</v>
      </c>
    </row>
    <row r="105" spans="1:31" ht="18" customHeight="1" x14ac:dyDescent="0.2">
      <c r="A105" s="30" t="s">
        <v>34</v>
      </c>
      <c r="B105" s="30" t="s">
        <v>18</v>
      </c>
      <c r="C105" s="4" t="e">
        <f t="shared" si="79"/>
        <v>#REF!</v>
      </c>
      <c r="D105" s="4" t="e">
        <f t="shared" si="80"/>
        <v>#REF!</v>
      </c>
      <c r="F105" s="106" t="s">
        <v>57</v>
      </c>
      <c r="H105" s="61">
        <f>_xll.GetCtData("PKAMOUNT","AMOUNT",$A$1:$A$3,$A105:$B105,H$3:H$5,"#")</f>
        <v>0</v>
      </c>
      <c r="I105" s="61">
        <f>_xll.GetCtData("PKAMOUNT","AMOUNT",$A$1:$A$3,$A105:$B105,I$3:I$5,"#")</f>
        <v>0</v>
      </c>
      <c r="J105" s="61">
        <f>_xll.GetCtData("PKAMOUNT","AMOUNT",$A$1:$A$3,$A105:$B105,J$3:J$5,"#")</f>
        <v>0</v>
      </c>
      <c r="K105" s="86">
        <f>_xll.GetCtData("PKAMOUNT","AMOUNT",$A$1:$A$3,$A105:$B105,K$3:K$5,"#")</f>
        <v>0</v>
      </c>
      <c r="L105" s="86">
        <f>_xll.GetCtData("PKAMOUNT","AMOUNT",$A$1:$A$3,$A105:$B105,L$3:L$5,"#")</f>
        <v>0</v>
      </c>
      <c r="M105" s="61">
        <f>_xll.GetCtData("PKAMOUNT","AMOUNT",$A$1:$A$3,$A105:$B105,M$3:M$5,"#")</f>
        <v>0</v>
      </c>
      <c r="N105" s="61" t="e">
        <f>IF(N$1&lt;=#REF!,_xll.GetCtData("PKAMOUNT","AMOUNT",$A$1:$A$3,$A105:$B105,N$3:N$5,"#")-SUM($M105:M105),0)</f>
        <v>#REF!</v>
      </c>
      <c r="O105" s="61" t="e">
        <f>IF(O$1&lt;=#REF!,_xll.GetCtData("PKAMOUNT","AMOUNT",$A$1:$A$3,$A105:$B105,O$3:O$5,"#")-SUM($M105:N105),0)</f>
        <v>#REF!</v>
      </c>
      <c r="P105" s="61" t="e">
        <f>IF(P$1&lt;=#REF!,_xll.GetCtData("PKAMOUNT","AMOUNT",$A$1:$A$3,$A105:$B105,P$3:P$5,"#")-SUM($M105:O105),0)</f>
        <v>#REF!</v>
      </c>
      <c r="Q105" s="61" t="e">
        <f>IF(Q$1&lt;=#REF!,_xll.GetCtData("PKAMOUNT","AMOUNT",$A$1:$A$3,$A105:$B105,Q$3:Q$5,"#")-SUM($M105:P105),0)</f>
        <v>#REF!</v>
      </c>
      <c r="R105" s="61" t="e">
        <f>IF(R$1&lt;=#REF!,_xll.GetCtData("PKAMOUNT","AMOUNT",$A$1:$A$3,$A105:$B105,R$3:R$5,"#")-SUM($M105:Q105),0)</f>
        <v>#REF!</v>
      </c>
      <c r="S105" s="61" t="e">
        <f>IF(S$1&lt;=#REF!,_xll.GetCtData("PKAMOUNT","AMOUNT",$A$1:$A$3,$A105:$B105,S$3:S$5,"#")-SUM($M105:R105),0)</f>
        <v>#REF!</v>
      </c>
      <c r="T105" s="61" t="e">
        <f>IF(T$1&lt;=#REF!,_xll.GetCtData("PKAMOUNT","AMOUNT",$A$1:$A$3,$A105:$B105,T$3:T$5,"#")-SUM($M105:S105),0)</f>
        <v>#REF!</v>
      </c>
      <c r="U105" s="61" t="e">
        <f>IF(U$1&lt;=#REF!,_xll.GetCtData("PKAMOUNT","AMOUNT",$A$1:$A$3,$A105:$B105,U$3:U$5,"#")-SUM($M105:T105),0)</f>
        <v>#REF!</v>
      </c>
      <c r="V105" s="61" t="e">
        <f>IF(V$1&lt;=#REF!,_xll.GetCtData("PKAMOUNT","AMOUNT",$A$1:$A$3,$A105:$B105,V$3:V$5,"#")-SUM($M105:U105),0)</f>
        <v>#REF!</v>
      </c>
      <c r="W105" s="61" t="e">
        <f>IF(W$1&lt;=#REF!,_xll.GetCtData("PKAMOUNT","AMOUNT",$A$1:$A$3,$A105:$B105,W$3:W$5,"#")-SUM($M105:V105),0)</f>
        <v>#REF!</v>
      </c>
      <c r="X105" s="61" t="e">
        <f>IF(X$1&lt;=#REF!,_xll.GetCtData("PKAMOUNT","AMOUNT",$A$1:$A$3,$A105:$B105,X$3:X$5,"#")-SUM($M105:W105),0)</f>
        <v>#REF!</v>
      </c>
      <c r="Y105" s="61">
        <f>_xll.GetCtData("PKAMOUNT","AMOUNT",$A$1:$A$3,$A105:$B105,Y$3:Y$5,"#")</f>
        <v>0</v>
      </c>
      <c r="AA105" s="61" t="e">
        <f>$K105*#REF!/12</f>
        <v>#REF!</v>
      </c>
      <c r="AB105" s="60" t="e">
        <f t="shared" si="81"/>
        <v>#REF!</v>
      </c>
      <c r="AD105" s="61" t="e">
        <f>$L105*#REF!/12</f>
        <v>#REF!</v>
      </c>
      <c r="AE105" s="60" t="e">
        <f t="shared" si="82"/>
        <v>#REF!</v>
      </c>
    </row>
    <row r="106" spans="1:31" ht="18" customHeight="1" x14ac:dyDescent="0.2">
      <c r="A106" s="30" t="s">
        <v>221</v>
      </c>
      <c r="B106" s="30" t="s">
        <v>18</v>
      </c>
      <c r="C106" s="4" t="e">
        <f t="shared" si="79"/>
        <v>#REF!</v>
      </c>
      <c r="D106" s="4" t="e">
        <f t="shared" si="80"/>
        <v>#REF!</v>
      </c>
      <c r="F106" s="106" t="s">
        <v>379</v>
      </c>
      <c r="H106" s="61">
        <f>_xll.GetCtData("PKAMOUNT","AMOUNT",$A$1:$A$3,$A106:$B106,H$3:H$5,"#")</f>
        <v>0</v>
      </c>
      <c r="I106" s="61">
        <f>_xll.GetCtData("PKAMOUNT","AMOUNT",$A$1:$A$3,$A106:$B106,I$3:I$5,"#")</f>
        <v>0</v>
      </c>
      <c r="J106" s="61">
        <f>_xll.GetCtData("PKAMOUNT","AMOUNT",$A$1:$A$3,$A106:$B106,J$3:J$5,"#")</f>
        <v>0</v>
      </c>
      <c r="K106" s="86">
        <f>_xll.GetCtData("PKAMOUNT","AMOUNT",$A$1:$A$3,$A106:$B106,K$3:K$5,"#")</f>
        <v>0</v>
      </c>
      <c r="L106" s="86">
        <f>_xll.GetCtData("PKAMOUNT","AMOUNT",$A$1:$A$3,$A106:$B106,L$3:L$5,"#")</f>
        <v>0</v>
      </c>
      <c r="M106" s="61">
        <f>_xll.GetCtData("PKAMOUNT","AMOUNT",$A$1:$A$3,$A106:$B106,M$3:M$5,"#")</f>
        <v>0</v>
      </c>
      <c r="N106" s="61" t="e">
        <f>IF(N$1&lt;=#REF!,_xll.GetCtData("PKAMOUNT","AMOUNT",$A$1:$A$3,$A106:$B106,N$3:N$5,"#")-SUM($M106:M106),0)</f>
        <v>#REF!</v>
      </c>
      <c r="O106" s="61" t="e">
        <f>IF(O$1&lt;=#REF!,_xll.GetCtData("PKAMOUNT","AMOUNT",$A$1:$A$3,$A106:$B106,O$3:O$5,"#")-SUM($M106:N106),0)</f>
        <v>#REF!</v>
      </c>
      <c r="P106" s="61" t="e">
        <f>IF(P$1&lt;=#REF!,_xll.GetCtData("PKAMOUNT","AMOUNT",$A$1:$A$3,$A106:$B106,P$3:P$5,"#")-SUM($M106:O106),0)</f>
        <v>#REF!</v>
      </c>
      <c r="Q106" s="61" t="e">
        <f>IF(Q$1&lt;=#REF!,_xll.GetCtData("PKAMOUNT","AMOUNT",$A$1:$A$3,$A106:$B106,Q$3:Q$5,"#")-SUM($M106:P106),0)</f>
        <v>#REF!</v>
      </c>
      <c r="R106" s="61" t="e">
        <f>IF(R$1&lt;=#REF!,_xll.GetCtData("PKAMOUNT","AMOUNT",$A$1:$A$3,$A106:$B106,R$3:R$5,"#")-SUM($M106:Q106),0)</f>
        <v>#REF!</v>
      </c>
      <c r="S106" s="61" t="e">
        <f>IF(S$1&lt;=#REF!,_xll.GetCtData("PKAMOUNT","AMOUNT",$A$1:$A$3,$A106:$B106,S$3:S$5,"#")-SUM($M106:R106),0)</f>
        <v>#REF!</v>
      </c>
      <c r="T106" s="61" t="e">
        <f>IF(T$1&lt;=#REF!,_xll.GetCtData("PKAMOUNT","AMOUNT",$A$1:$A$3,$A106:$B106,T$3:T$5,"#")-SUM($M106:S106),0)</f>
        <v>#REF!</v>
      </c>
      <c r="U106" s="61" t="e">
        <f>IF(U$1&lt;=#REF!,_xll.GetCtData("PKAMOUNT","AMOUNT",$A$1:$A$3,$A106:$B106,U$3:U$5,"#")-SUM($M106:T106),0)</f>
        <v>#REF!</v>
      </c>
      <c r="V106" s="61" t="e">
        <f>IF(V$1&lt;=#REF!,_xll.GetCtData("PKAMOUNT","AMOUNT",$A$1:$A$3,$A106:$B106,V$3:V$5,"#")-SUM($M106:U106),0)</f>
        <v>#REF!</v>
      </c>
      <c r="W106" s="61" t="e">
        <f>IF(W$1&lt;=#REF!,_xll.GetCtData("PKAMOUNT","AMOUNT",$A$1:$A$3,$A106:$B106,W$3:W$5,"#")-SUM($M106:V106),0)</f>
        <v>#REF!</v>
      </c>
      <c r="X106" s="61" t="e">
        <f>IF(X$1&lt;=#REF!,_xll.GetCtData("PKAMOUNT","AMOUNT",$A$1:$A$3,$A106:$B106,X$3:X$5,"#")-SUM($M106:W106),0)</f>
        <v>#REF!</v>
      </c>
      <c r="Y106" s="61">
        <f>_xll.GetCtData("PKAMOUNT","AMOUNT",$A$1:$A$3,$A106:$B106,Y$3:Y$5,"#")</f>
        <v>0</v>
      </c>
      <c r="AA106" s="61" t="e">
        <f>$K106*#REF!/12</f>
        <v>#REF!</v>
      </c>
      <c r="AB106" s="60" t="e">
        <f t="shared" si="81"/>
        <v>#REF!</v>
      </c>
      <c r="AD106" s="61" t="e">
        <f>$L106*#REF!/12</f>
        <v>#REF!</v>
      </c>
      <c r="AE106" s="60" t="e">
        <f t="shared" si="82"/>
        <v>#REF!</v>
      </c>
    </row>
    <row r="107" spans="1:31" ht="18" customHeight="1" x14ac:dyDescent="0.2">
      <c r="A107" s="30" t="s">
        <v>430</v>
      </c>
      <c r="B107" s="30" t="s">
        <v>18</v>
      </c>
      <c r="C107" s="4" t="e">
        <f t="shared" si="79"/>
        <v>#REF!</v>
      </c>
      <c r="D107" s="4" t="e">
        <f t="shared" si="80"/>
        <v>#REF!</v>
      </c>
      <c r="F107" s="106" t="s">
        <v>431</v>
      </c>
      <c r="H107" s="61">
        <f>_xll.GetCtData("PKAMOUNT","AMOUNT",$A$1:$A$3,$A107:$B107,H$3:H$5,"#")</f>
        <v>0</v>
      </c>
      <c r="I107" s="61">
        <f>_xll.GetCtData("PKAMOUNT","AMOUNT",$A$1:$A$3,$A107:$B107,I$3:I$5,"#")</f>
        <v>0</v>
      </c>
      <c r="J107" s="61">
        <f>_xll.GetCtData("PKAMOUNT","AMOUNT",$A$1:$A$3,$A107:$B107,J$3:J$5,"#")</f>
        <v>0</v>
      </c>
      <c r="K107" s="86">
        <f>_xll.GetCtData("PKAMOUNT","AMOUNT",$A$1:$A$3,$A107:$B107,K$3:K$5,"#")</f>
        <v>0</v>
      </c>
      <c r="L107" s="86">
        <f>_xll.GetCtData("PKAMOUNT","AMOUNT",$A$1:$A$3,$A107:$B107,L$3:L$5,"#")</f>
        <v>0</v>
      </c>
      <c r="M107" s="61">
        <f>_xll.GetCtData("PKAMOUNT","AMOUNT",$A$1:$A$3,$A107:$B107,M$3:M$5,"#")</f>
        <v>0</v>
      </c>
      <c r="N107" s="61" t="e">
        <f>IF(N$1&lt;=#REF!,_xll.GetCtData("PKAMOUNT","AMOUNT",$A$1:$A$3,$A107:$B107,N$3:N$5,"#")-SUM($M107:M107),0)</f>
        <v>#REF!</v>
      </c>
      <c r="O107" s="61" t="e">
        <f>IF(O$1&lt;=#REF!,_xll.GetCtData("PKAMOUNT","AMOUNT",$A$1:$A$3,$A107:$B107,O$3:O$5,"#")-SUM($M107:N107),0)</f>
        <v>#REF!</v>
      </c>
      <c r="P107" s="61" t="e">
        <f>IF(P$1&lt;=#REF!,_xll.GetCtData("PKAMOUNT","AMOUNT",$A$1:$A$3,$A107:$B107,P$3:P$5,"#")-SUM($M107:O107),0)</f>
        <v>#REF!</v>
      </c>
      <c r="Q107" s="61" t="e">
        <f>IF(Q$1&lt;=#REF!,_xll.GetCtData("PKAMOUNT","AMOUNT",$A$1:$A$3,$A107:$B107,Q$3:Q$5,"#")-SUM($M107:P107),0)</f>
        <v>#REF!</v>
      </c>
      <c r="R107" s="61" t="e">
        <f>IF(R$1&lt;=#REF!,_xll.GetCtData("PKAMOUNT","AMOUNT",$A$1:$A$3,$A107:$B107,R$3:R$5,"#")-SUM($M107:Q107),0)</f>
        <v>#REF!</v>
      </c>
      <c r="S107" s="61" t="e">
        <f>IF(S$1&lt;=#REF!,_xll.GetCtData("PKAMOUNT","AMOUNT",$A$1:$A$3,$A107:$B107,S$3:S$5,"#")-SUM($M107:R107),0)</f>
        <v>#REF!</v>
      </c>
      <c r="T107" s="61" t="e">
        <f>IF(T$1&lt;=#REF!,_xll.GetCtData("PKAMOUNT","AMOUNT",$A$1:$A$3,$A107:$B107,T$3:T$5,"#")-SUM($M107:S107),0)</f>
        <v>#REF!</v>
      </c>
      <c r="U107" s="61" t="e">
        <f>IF(U$1&lt;=#REF!,_xll.GetCtData("PKAMOUNT","AMOUNT",$A$1:$A$3,$A107:$B107,U$3:U$5,"#")-SUM($M107:T107),0)</f>
        <v>#REF!</v>
      </c>
      <c r="V107" s="61" t="e">
        <f>IF(V$1&lt;=#REF!,_xll.GetCtData("PKAMOUNT","AMOUNT",$A$1:$A$3,$A107:$B107,V$3:V$5,"#")-SUM($M107:U107),0)</f>
        <v>#REF!</v>
      </c>
      <c r="W107" s="61" t="e">
        <f>IF(W$1&lt;=#REF!,_xll.GetCtData("PKAMOUNT","AMOUNT",$A$1:$A$3,$A107:$B107,W$3:W$5,"#")-SUM($M107:V107),0)</f>
        <v>#REF!</v>
      </c>
      <c r="X107" s="61" t="e">
        <f>IF(X$1&lt;=#REF!,_xll.GetCtData("PKAMOUNT","AMOUNT",$A$1:$A$3,$A107:$B107,X$3:X$5,"#")-SUM($M107:W107),0)</f>
        <v>#REF!</v>
      </c>
      <c r="Y107" s="61">
        <f>_xll.GetCtData("PKAMOUNT","AMOUNT",$A$1:$A$3,$A107:$B107,Y$3:Y$5,"#")</f>
        <v>0</v>
      </c>
      <c r="AA107" s="61" t="e">
        <f>$K107*#REF!/12</f>
        <v>#REF!</v>
      </c>
      <c r="AB107" s="60" t="e">
        <f t="shared" ref="AB107" si="83">ROUND($Y107-AA107,2)</f>
        <v>#REF!</v>
      </c>
      <c r="AD107" s="61" t="e">
        <f>$L107*#REF!/12</f>
        <v>#REF!</v>
      </c>
      <c r="AE107" s="60" t="e">
        <f t="shared" ref="AE107" si="84">ROUND($Y107-AD107,2)</f>
        <v>#REF!</v>
      </c>
    </row>
    <row r="108" spans="1:31" ht="18" customHeight="1" x14ac:dyDescent="0.2">
      <c r="A108" s="30" t="s">
        <v>35</v>
      </c>
      <c r="B108" s="30" t="s">
        <v>18</v>
      </c>
      <c r="C108" s="4" t="e">
        <f t="shared" si="79"/>
        <v>#REF!</v>
      </c>
      <c r="D108" s="4" t="e">
        <f t="shared" si="80"/>
        <v>#REF!</v>
      </c>
      <c r="F108" s="106" t="s">
        <v>67</v>
      </c>
      <c r="H108" s="61">
        <f>_xll.GetCtData("PKAMOUNT","AMOUNT",$A$1:$A$3,$A108:$B108,H$3:H$5,"#")</f>
        <v>0</v>
      </c>
      <c r="I108" s="61">
        <f>_xll.GetCtData("PKAMOUNT","AMOUNT",$A$1:$A$3,$A108:$B108,I$3:I$5,"#")</f>
        <v>0</v>
      </c>
      <c r="J108" s="61">
        <f>_xll.GetCtData("PKAMOUNT","AMOUNT",$A$1:$A$3,$A108:$B108,J$3:J$5,"#")</f>
        <v>0</v>
      </c>
      <c r="K108" s="86">
        <f>_xll.GetCtData("PKAMOUNT","AMOUNT",$A$1:$A$3,$A108:$B108,K$3:K$5,"#")</f>
        <v>0</v>
      </c>
      <c r="L108" s="86">
        <f>_xll.GetCtData("PKAMOUNT","AMOUNT",$A$1:$A$3,$A108:$B108,L$3:L$5,"#")</f>
        <v>0</v>
      </c>
      <c r="M108" s="61">
        <f>_xll.GetCtData("PKAMOUNT","AMOUNT",$A$1:$A$3,$A108:$B108,M$3:M$5,"#")</f>
        <v>0</v>
      </c>
      <c r="N108" s="61" t="e">
        <f>IF(N$1&lt;=#REF!,_xll.GetCtData("PKAMOUNT","AMOUNT",$A$1:$A$3,$A108:$B108,N$3:N$5,"#")-SUM($M108:M108),0)</f>
        <v>#REF!</v>
      </c>
      <c r="O108" s="61" t="e">
        <f>IF(O$1&lt;=#REF!,_xll.GetCtData("PKAMOUNT","AMOUNT",$A$1:$A$3,$A108:$B108,O$3:O$5,"#")-SUM($M108:N108),0)</f>
        <v>#REF!</v>
      </c>
      <c r="P108" s="61" t="e">
        <f>IF(P$1&lt;=#REF!,_xll.GetCtData("PKAMOUNT","AMOUNT",$A$1:$A$3,$A108:$B108,P$3:P$5,"#")-SUM($M108:O108),0)</f>
        <v>#REF!</v>
      </c>
      <c r="Q108" s="61" t="e">
        <f>IF(Q$1&lt;=#REF!,_xll.GetCtData("PKAMOUNT","AMOUNT",$A$1:$A$3,$A108:$B108,Q$3:Q$5,"#")-SUM($M108:P108),0)</f>
        <v>#REF!</v>
      </c>
      <c r="R108" s="61" t="e">
        <f>IF(R$1&lt;=#REF!,_xll.GetCtData("PKAMOUNT","AMOUNT",$A$1:$A$3,$A108:$B108,R$3:R$5,"#")-SUM($M108:Q108),0)</f>
        <v>#REF!</v>
      </c>
      <c r="S108" s="61" t="e">
        <f>IF(S$1&lt;=#REF!,_xll.GetCtData("PKAMOUNT","AMOUNT",$A$1:$A$3,$A108:$B108,S$3:S$5,"#")-SUM($M108:R108),0)</f>
        <v>#REF!</v>
      </c>
      <c r="T108" s="61" t="e">
        <f>IF(T$1&lt;=#REF!,_xll.GetCtData("PKAMOUNT","AMOUNT",$A$1:$A$3,$A108:$B108,T$3:T$5,"#")-SUM($M108:S108),0)</f>
        <v>#REF!</v>
      </c>
      <c r="U108" s="61" t="e">
        <f>IF(U$1&lt;=#REF!,_xll.GetCtData("PKAMOUNT","AMOUNT",$A$1:$A$3,$A108:$B108,U$3:U$5,"#")-SUM($M108:T108),0)</f>
        <v>#REF!</v>
      </c>
      <c r="V108" s="61" t="e">
        <f>IF(V$1&lt;=#REF!,_xll.GetCtData("PKAMOUNT","AMOUNT",$A$1:$A$3,$A108:$B108,V$3:V$5,"#")-SUM($M108:U108),0)</f>
        <v>#REF!</v>
      </c>
      <c r="W108" s="61" t="e">
        <f>IF(W$1&lt;=#REF!,_xll.GetCtData("PKAMOUNT","AMOUNT",$A$1:$A$3,$A108:$B108,W$3:W$5,"#")-SUM($M108:V108),0)</f>
        <v>#REF!</v>
      </c>
      <c r="X108" s="61" t="e">
        <f>IF(X$1&lt;=#REF!,_xll.GetCtData("PKAMOUNT","AMOUNT",$A$1:$A$3,$A108:$B108,X$3:X$5,"#")-SUM($M108:W108),0)</f>
        <v>#REF!</v>
      </c>
      <c r="Y108" s="61">
        <f>_xll.GetCtData("PKAMOUNT","AMOUNT",$A$1:$A$3,$A108:$B108,Y$3:Y$5,"#")</f>
        <v>0</v>
      </c>
      <c r="AA108" s="61" t="e">
        <f>$K108*#REF!/12</f>
        <v>#REF!</v>
      </c>
      <c r="AB108" s="60" t="e">
        <f t="shared" si="81"/>
        <v>#REF!</v>
      </c>
      <c r="AD108" s="61" t="e">
        <f>$L108*#REF!/12</f>
        <v>#REF!</v>
      </c>
      <c r="AE108" s="60" t="e">
        <f t="shared" si="82"/>
        <v>#REF!</v>
      </c>
    </row>
    <row r="109" spans="1:31" ht="18" hidden="1" customHeight="1" outlineLevel="1" collapsed="1" x14ac:dyDescent="0.2">
      <c r="A109" s="35"/>
      <c r="B109" s="35"/>
      <c r="C109" s="4"/>
      <c r="D109" s="4"/>
      <c r="F109" s="97" t="s">
        <v>241</v>
      </c>
      <c r="H109" s="74">
        <f>-H110/38</f>
        <v>0</v>
      </c>
      <c r="I109" s="74" t="e">
        <f>(-I110/38)*12/#REF!</f>
        <v>#REF!</v>
      </c>
      <c r="J109" s="74">
        <f>-J110/38</f>
        <v>0</v>
      </c>
      <c r="K109" s="112">
        <f>-K110/38</f>
        <v>0</v>
      </c>
      <c r="L109" s="112">
        <f>-L110/38</f>
        <v>0</v>
      </c>
      <c r="M109" s="74">
        <f t="shared" ref="M109:X109" si="85">-M110/38*12</f>
        <v>0</v>
      </c>
      <c r="N109" s="74" t="e">
        <f t="shared" si="85"/>
        <v>#REF!</v>
      </c>
      <c r="O109" s="74" t="e">
        <f t="shared" si="85"/>
        <v>#REF!</v>
      </c>
      <c r="P109" s="74" t="e">
        <f t="shared" si="85"/>
        <v>#REF!</v>
      </c>
      <c r="Q109" s="74" t="e">
        <f t="shared" si="85"/>
        <v>#REF!</v>
      </c>
      <c r="R109" s="74" t="e">
        <f t="shared" si="85"/>
        <v>#REF!</v>
      </c>
      <c r="S109" s="74" t="e">
        <f t="shared" si="85"/>
        <v>#REF!</v>
      </c>
      <c r="T109" s="74" t="e">
        <f t="shared" si="85"/>
        <v>#REF!</v>
      </c>
      <c r="U109" s="74" t="e">
        <f t="shared" si="85"/>
        <v>#REF!</v>
      </c>
      <c r="V109" s="74" t="e">
        <f t="shared" si="85"/>
        <v>#REF!</v>
      </c>
      <c r="W109" s="74" t="e">
        <f t="shared" si="85"/>
        <v>#REF!</v>
      </c>
      <c r="X109" s="74" t="e">
        <f t="shared" si="85"/>
        <v>#REF!</v>
      </c>
      <c r="Y109" s="74" t="e">
        <f>(-Y110/38)*12/#REF!</f>
        <v>#REF!</v>
      </c>
      <c r="AA109" s="74">
        <f>$K109</f>
        <v>0</v>
      </c>
      <c r="AB109" s="73" t="e">
        <f t="shared" si="81"/>
        <v>#REF!</v>
      </c>
      <c r="AD109" s="74">
        <f>$L109</f>
        <v>0</v>
      </c>
      <c r="AE109" s="73" t="e">
        <f t="shared" si="82"/>
        <v>#REF!</v>
      </c>
    </row>
    <row r="110" spans="1:31" ht="18" customHeight="1" collapsed="1" x14ac:dyDescent="0.2">
      <c r="A110" s="30" t="s">
        <v>20</v>
      </c>
      <c r="B110" s="30" t="s">
        <v>18</v>
      </c>
      <c r="C110" s="4" t="e">
        <f>IF(AND($Y110=0,AA110=0),0,IF(AA110=0,IF($Y110&gt;=0,AB110/$Y110,-AB110/$Y110),IF(AA110&gt;=0,AB110/AA110,-AB110/AA110)))</f>
        <v>#REF!</v>
      </c>
      <c r="D110" s="4" t="e">
        <f>IF(AND($Y110=0,AD110=0),0,IF(AD110=0,IF($Y110&gt;=0,AE110/$Y110,-AE110/$Y110),IF(AD110&gt;=0,AE110/AD110,-AE110/AD110)))</f>
        <v>#REF!</v>
      </c>
      <c r="F110" s="106" t="s">
        <v>68</v>
      </c>
      <c r="H110" s="61">
        <f>_xll.GetCtData("PKAMOUNT","AMOUNT",$A$1:$A$3,$A110:$B110,H$3:H$5,"#")</f>
        <v>0</v>
      </c>
      <c r="I110" s="61">
        <f>_xll.GetCtData("PKAMOUNT","AMOUNT",$A$1:$A$3,$A110:$B110,I$3:I$5,"#")</f>
        <v>0</v>
      </c>
      <c r="J110" s="61">
        <f>_xll.GetCtData("PKAMOUNT","AMOUNT",$A$1:$A$3,$A110:$B110,J$3:J$5,"#")</f>
        <v>0</v>
      </c>
      <c r="K110" s="86">
        <f>_xll.GetCtData("PKAMOUNT","AMOUNT",$A$1:$A$3,$A110:$B110,K$3:K$5,"#")</f>
        <v>0</v>
      </c>
      <c r="L110" s="86">
        <f>_xll.GetCtData("PKAMOUNT","AMOUNT",$A$1:$A$3,$A110:$B110,L$3:L$5,"#")</f>
        <v>0</v>
      </c>
      <c r="M110" s="61">
        <f>_xll.GetCtData("PKAMOUNT","AMOUNT",$A$1:$A$3,$A110:$B110,M$3:M$5,"#")</f>
        <v>0</v>
      </c>
      <c r="N110" s="61" t="e">
        <f>IF(N$1&lt;=#REF!,_xll.GetCtData("PKAMOUNT","AMOUNT",$A$1:$A$3,$A110:$B110,N$3:N$5,"#")-SUM($M110:M110),0)</f>
        <v>#REF!</v>
      </c>
      <c r="O110" s="61" t="e">
        <f>IF(O$1&lt;=#REF!,_xll.GetCtData("PKAMOUNT","AMOUNT",$A$1:$A$3,$A110:$B110,O$3:O$5,"#")-SUM($M110:N110),0)</f>
        <v>#REF!</v>
      </c>
      <c r="P110" s="61" t="e">
        <f>IF(P$1&lt;=#REF!,_xll.GetCtData("PKAMOUNT","AMOUNT",$A$1:$A$3,$A110:$B110,P$3:P$5,"#")-SUM($M110:O110),0)</f>
        <v>#REF!</v>
      </c>
      <c r="Q110" s="61" t="e">
        <f>IF(Q$1&lt;=#REF!,_xll.GetCtData("PKAMOUNT","AMOUNT",$A$1:$A$3,$A110:$B110,Q$3:Q$5,"#")-SUM($M110:P110),0)</f>
        <v>#REF!</v>
      </c>
      <c r="R110" s="61" t="e">
        <f>IF(R$1&lt;=#REF!,_xll.GetCtData("PKAMOUNT","AMOUNT",$A$1:$A$3,$A110:$B110,R$3:R$5,"#")-SUM($M110:Q110),0)</f>
        <v>#REF!</v>
      </c>
      <c r="S110" s="61" t="e">
        <f>IF(S$1&lt;=#REF!,_xll.GetCtData("PKAMOUNT","AMOUNT",$A$1:$A$3,$A110:$B110,S$3:S$5,"#")-SUM($M110:R110),0)</f>
        <v>#REF!</v>
      </c>
      <c r="T110" s="61" t="e">
        <f>IF(T$1&lt;=#REF!,_xll.GetCtData("PKAMOUNT","AMOUNT",$A$1:$A$3,$A110:$B110,T$3:T$5,"#")-SUM($M110:S110),0)</f>
        <v>#REF!</v>
      </c>
      <c r="U110" s="61" t="e">
        <f>IF(U$1&lt;=#REF!,_xll.GetCtData("PKAMOUNT","AMOUNT",$A$1:$A$3,$A110:$B110,U$3:U$5,"#")-SUM($M110:T110),0)</f>
        <v>#REF!</v>
      </c>
      <c r="V110" s="61" t="e">
        <f>IF(V$1&lt;=#REF!,_xll.GetCtData("PKAMOUNT","AMOUNT",$A$1:$A$3,$A110:$B110,V$3:V$5,"#")-SUM($M110:U110),0)</f>
        <v>#REF!</v>
      </c>
      <c r="W110" s="61" t="e">
        <f>IF(W$1&lt;=#REF!,_xll.GetCtData("PKAMOUNT","AMOUNT",$A$1:$A$3,$A110:$B110,W$3:W$5,"#")-SUM($M110:V110),0)</f>
        <v>#REF!</v>
      </c>
      <c r="X110" s="61" t="e">
        <f>IF(X$1&lt;=#REF!,_xll.GetCtData("PKAMOUNT","AMOUNT",$A$1:$A$3,$A110:$B110,X$3:X$5,"#")-SUM($M110:W110),0)</f>
        <v>#REF!</v>
      </c>
      <c r="Y110" s="61">
        <f>_xll.GetCtData("PKAMOUNT","AMOUNT",$A$1:$A$3,$A110:$B110,Y$3:Y$5,"#")</f>
        <v>0</v>
      </c>
      <c r="AA110" s="61" t="e">
        <f>$K110*#REF!/12</f>
        <v>#REF!</v>
      </c>
      <c r="AB110" s="60" t="e">
        <f t="shared" si="81"/>
        <v>#REF!</v>
      </c>
      <c r="AD110" s="61" t="e">
        <f>$L110*#REF!/12</f>
        <v>#REF!</v>
      </c>
      <c r="AE110" s="60" t="e">
        <f t="shared" si="82"/>
        <v>#REF!</v>
      </c>
    </row>
    <row r="111" spans="1:31" ht="18" customHeight="1" x14ac:dyDescent="0.2">
      <c r="A111" s="35"/>
      <c r="B111" s="35"/>
      <c r="C111" s="4" t="e">
        <f>IF(AND($Y111=0,AA111=0),0,IF(AA111=0,IF($Y111&gt;=0,AB111/$Y111,-AB111/$Y111),IF(AA111&gt;=0,AB111/AA111,-AB111/AA111)))</f>
        <v>#REF!</v>
      </c>
      <c r="D111" s="4" t="e">
        <f>IF(AND($Y111=0,AD111=0),0,IF(AD111=0,IF($Y111&gt;=0,AE111/$Y111,-AE111/$Y111),IF(AD111&gt;=0,AE111/AD111,-AE111/AD111)))</f>
        <v>#REF!</v>
      </c>
      <c r="F111" s="95" t="s">
        <v>275</v>
      </c>
      <c r="H111" s="198">
        <f>H103+H104+H105+H106+H108+H110+H107</f>
        <v>0</v>
      </c>
      <c r="I111" s="198">
        <f>I103+I104+I105+I106+I108+I110+I107</f>
        <v>0</v>
      </c>
      <c r="J111" s="198">
        <f>J103+J104+J105+J106+J108+J110+J107</f>
        <v>0</v>
      </c>
      <c r="K111" s="89">
        <f t="shared" ref="K111:L111" si="86">K103+K104+K105+K106+K108+K110</f>
        <v>0</v>
      </c>
      <c r="L111" s="89">
        <f t="shared" si="86"/>
        <v>0</v>
      </c>
      <c r="M111" s="64">
        <f>M103+M104+M105+M106+M108+M110+M107</f>
        <v>0</v>
      </c>
      <c r="N111" s="64" t="e">
        <f t="shared" ref="N111:Y111" si="87">N103+N104+N105+N106+N108+N110+N107</f>
        <v>#REF!</v>
      </c>
      <c r="O111" s="64" t="e">
        <f t="shared" si="87"/>
        <v>#REF!</v>
      </c>
      <c r="P111" s="64" t="e">
        <f t="shared" si="87"/>
        <v>#REF!</v>
      </c>
      <c r="Q111" s="64" t="e">
        <f t="shared" si="87"/>
        <v>#REF!</v>
      </c>
      <c r="R111" s="64" t="e">
        <f t="shared" si="87"/>
        <v>#REF!</v>
      </c>
      <c r="S111" s="64" t="e">
        <f t="shared" si="87"/>
        <v>#REF!</v>
      </c>
      <c r="T111" s="64" t="e">
        <f t="shared" si="87"/>
        <v>#REF!</v>
      </c>
      <c r="U111" s="64" t="e">
        <f t="shared" si="87"/>
        <v>#REF!</v>
      </c>
      <c r="V111" s="64" t="e">
        <f t="shared" si="87"/>
        <v>#REF!</v>
      </c>
      <c r="W111" s="64" t="e">
        <f t="shared" si="87"/>
        <v>#REF!</v>
      </c>
      <c r="X111" s="64" t="e">
        <f t="shared" si="87"/>
        <v>#REF!</v>
      </c>
      <c r="Y111" s="64">
        <f t="shared" si="87"/>
        <v>0</v>
      </c>
      <c r="AA111" s="64" t="e">
        <f>$K111*#REF!/12</f>
        <v>#REF!</v>
      </c>
      <c r="AB111" s="60" t="e">
        <f t="shared" si="81"/>
        <v>#REF!</v>
      </c>
      <c r="AD111" s="64" t="e">
        <f>$L111*#REF!/12</f>
        <v>#REF!</v>
      </c>
      <c r="AE111" s="60" t="e">
        <f t="shared" si="82"/>
        <v>#REF!</v>
      </c>
    </row>
    <row r="112" spans="1:31" ht="12.95" customHeight="1" x14ac:dyDescent="0.2">
      <c r="A112" s="35"/>
      <c r="B112" s="35"/>
      <c r="C112" s="4"/>
      <c r="D112" s="4"/>
      <c r="F112" s="39" t="s">
        <v>223</v>
      </c>
      <c r="H112" s="56">
        <f>-H111/(H$58)</f>
        <v>0</v>
      </c>
      <c r="I112" s="56">
        <f t="shared" ref="I112:L112" si="88">-I111/(I$58)</f>
        <v>0</v>
      </c>
      <c r="J112" s="56">
        <f t="shared" si="88"/>
        <v>0</v>
      </c>
      <c r="K112" s="109" t="e">
        <f t="shared" si="88"/>
        <v>#DIV/0!</v>
      </c>
      <c r="L112" s="109" t="e">
        <f t="shared" si="88"/>
        <v>#DIV/0!</v>
      </c>
      <c r="M112" s="56" t="e">
        <f>-M111/(M$58)</f>
        <v>#DIV/0!</v>
      </c>
      <c r="N112" s="56" t="e">
        <f>IF(N$1&lt;=#REF!,-N111/(N$58),"")</f>
        <v>#REF!</v>
      </c>
      <c r="O112" s="56" t="e">
        <f>IF(O$1&lt;=#REF!,-O111/(O$58),"")</f>
        <v>#REF!</v>
      </c>
      <c r="P112" s="56" t="e">
        <f>IF(P$1&lt;=#REF!,-P111/(P$58),"")</f>
        <v>#REF!</v>
      </c>
      <c r="Q112" s="56" t="e">
        <f>IF(Q$1&lt;=#REF!,-Q111/(Q$58),"")</f>
        <v>#REF!</v>
      </c>
      <c r="R112" s="56" t="e">
        <f>IF(R$1&lt;=#REF!,-R111/(R$58),"")</f>
        <v>#REF!</v>
      </c>
      <c r="S112" s="56" t="e">
        <f>IF(S$1&lt;=#REF!,-S111/(S$58),"")</f>
        <v>#REF!</v>
      </c>
      <c r="T112" s="56" t="e">
        <f>IF(T$1&lt;=#REF!,-T111/(T$58),"")</f>
        <v>#REF!</v>
      </c>
      <c r="U112" s="56" t="e">
        <f>IF(U$1&lt;=#REF!,-U111/(U$58),"")</f>
        <v>#REF!</v>
      </c>
      <c r="V112" s="56" t="e">
        <f>IF(V$1&lt;=#REF!,-V111/(V$58),"")</f>
        <v>#REF!</v>
      </c>
      <c r="W112" s="56" t="e">
        <f>IF(W$1&lt;=#REF!,-W111/(W$58),"")</f>
        <v>#REF!</v>
      </c>
      <c r="X112" s="56" t="e">
        <f>IF(X$1&lt;=#REF!,-X111/(X$58),"")</f>
        <v>#REF!</v>
      </c>
      <c r="Y112" s="56" t="e">
        <f>-Y111/(Y$58)</f>
        <v>#DIV/0!</v>
      </c>
      <c r="AA112" s="56" t="e">
        <f>-AA111/(AA$58)</f>
        <v>#REF!</v>
      </c>
      <c r="AB112" s="57"/>
      <c r="AD112" s="56" t="e">
        <f>-AD111/(AD$58)</f>
        <v>#REF!</v>
      </c>
      <c r="AE112" s="57"/>
    </row>
    <row r="113" spans="1:31" ht="6.95" customHeight="1" x14ac:dyDescent="0.2">
      <c r="C113" s="4"/>
      <c r="D113" s="4"/>
      <c r="F113" s="99"/>
      <c r="H113" s="16"/>
      <c r="I113" s="16"/>
      <c r="J113" s="16"/>
      <c r="K113" s="85"/>
      <c r="L113" s="85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AA113" s="16"/>
      <c r="AB113" s="20"/>
      <c r="AD113" s="16"/>
      <c r="AE113" s="20"/>
    </row>
    <row r="114" spans="1:31" ht="18" customHeight="1" x14ac:dyDescent="0.2">
      <c r="A114" s="30" t="s">
        <v>70</v>
      </c>
      <c r="B114" s="30" t="s">
        <v>18</v>
      </c>
      <c r="C114" s="4"/>
      <c r="D114" s="4"/>
      <c r="F114" s="97" t="s">
        <v>225</v>
      </c>
      <c r="H114" s="74">
        <f>_xll.GetCtData("PKAMOUNT","AMOUNT",$A$1:$A$3,$A114:$B114,H$3:H$5,"#")</f>
        <v>0</v>
      </c>
      <c r="I114" s="74" t="e">
        <f>_xll.GetCtData("PKAMOUNT","AMOUNT",$A$1:$A$3,$A114:$B114,I$3:I$5,"#")*12/#REF!</f>
        <v>#REF!</v>
      </c>
      <c r="J114" s="74">
        <f>_xll.GetCtData("PKAMOUNT","AMOUNT",$A$1:$A$3,$A114:$B114,J$3:J$5,"#")</f>
        <v>0</v>
      </c>
      <c r="K114" s="112">
        <f>_xll.GetCtData("PKAMOUNT","AMOUNT",$A$1:$A$3,$A114:$B114,K$3:K$5,"#")</f>
        <v>0</v>
      </c>
      <c r="L114" s="112">
        <f>_xll.GetCtData("PKAMOUNT","AMOUNT",$A$1:$A$3,$A114:$B114,L$3:L$5,"#")</f>
        <v>0</v>
      </c>
      <c r="M114" s="74">
        <f>_xll.GetCtData("PKAMOUNT","AMOUNT",$A$1:$A$3,$A114:$B114,M$3:M$5,"#")*12</f>
        <v>0</v>
      </c>
      <c r="N114" s="74" t="e">
        <f>IF(N$1&lt;=#REF!,_xll.GetCtData("PKAMOUNT","AMOUNT",$A$1:$A$3,$A114:$B114,N$3:N$5,"#")*12-SUM($M114:M114),0)</f>
        <v>#REF!</v>
      </c>
      <c r="O114" s="74" t="e">
        <f>IF(O$1&lt;=#REF!,_xll.GetCtData("PKAMOUNT","AMOUNT",$A$1:$A$3,$A114:$B114,O$3:O$5,"#")*12-SUM($M114:N114),0)</f>
        <v>#REF!</v>
      </c>
      <c r="P114" s="74" t="e">
        <f>IF(P$1&lt;=#REF!,_xll.GetCtData("PKAMOUNT","AMOUNT",$A$1:$A$3,$A114:$B114,P$3:P$5,"#")*12-SUM($M114:O114),0)</f>
        <v>#REF!</v>
      </c>
      <c r="Q114" s="74" t="e">
        <f>IF(Q$1&lt;=#REF!,_xll.GetCtData("PKAMOUNT","AMOUNT",$A$1:$A$3,$A114:$B114,Q$3:Q$5,"#")*12-SUM($M114:P114),0)</f>
        <v>#REF!</v>
      </c>
      <c r="R114" s="74" t="e">
        <f>IF(R$1&lt;=#REF!,_xll.GetCtData("PKAMOUNT","AMOUNT",$A$1:$A$3,$A114:$B114,R$3:R$5,"#")*12-SUM($M114:Q114),0)</f>
        <v>#REF!</v>
      </c>
      <c r="S114" s="74" t="e">
        <f>IF(S$1&lt;=#REF!,_xll.GetCtData("PKAMOUNT","AMOUNT",$A$1:$A$3,$A114:$B114,S$3:S$5,"#")*12-SUM($M114:R114),0)</f>
        <v>#REF!</v>
      </c>
      <c r="T114" s="74" t="e">
        <f>IF(T$1&lt;=#REF!,_xll.GetCtData("PKAMOUNT","AMOUNT",$A$1:$A$3,$A114:$B114,T$3:T$5,"#")*12-SUM($M114:S114),0)</f>
        <v>#REF!</v>
      </c>
      <c r="U114" s="74" t="e">
        <f>IF(U$1&lt;=#REF!,_xll.GetCtData("PKAMOUNT","AMOUNT",$A$1:$A$3,$A114:$B114,U$3:U$5,"#")*12-SUM($M114:T114),0)</f>
        <v>#REF!</v>
      </c>
      <c r="V114" s="74" t="e">
        <f>IF(V$1&lt;=#REF!,_xll.GetCtData("PKAMOUNT","AMOUNT",$A$1:$A$3,$A114:$B114,V$3:V$5,"#")*12-SUM($M114:U114),0)</f>
        <v>#REF!</v>
      </c>
      <c r="W114" s="74" t="e">
        <f>IF(W$1&lt;=#REF!,_xll.GetCtData("PKAMOUNT","AMOUNT",$A$1:$A$3,$A114:$B114,W$3:W$5,"#")*12-SUM($M114:V114),0)</f>
        <v>#REF!</v>
      </c>
      <c r="X114" s="74" t="e">
        <f>IF(X$1&lt;=#REF!,_xll.GetCtData("PKAMOUNT","AMOUNT",$A$1:$A$3,$A114:$B114,X$3:X$5,"#")*12-SUM($M114:W114),0)</f>
        <v>#REF!</v>
      </c>
      <c r="Y114" s="74" t="e">
        <f>_xll.GetCtData("PKAMOUNT","AMOUNT",$A$1:$A$3,$A114:$B114,Y$3:Y$5,"#")*12/#REF!</f>
        <v>#REF!</v>
      </c>
      <c r="AA114" s="74">
        <f>$K114</f>
        <v>0</v>
      </c>
      <c r="AB114" s="73" t="e">
        <f t="shared" ref="AB114:AB137" si="89">ROUND($Y114-AA114,2)</f>
        <v>#REF!</v>
      </c>
      <c r="AD114" s="74">
        <f>$L114</f>
        <v>0</v>
      </c>
      <c r="AE114" s="73" t="e">
        <f t="shared" ref="AE114:AE137" si="90">ROUND($Y114-AD114,2)</f>
        <v>#REF!</v>
      </c>
    </row>
    <row r="115" spans="1:31" ht="12.95" customHeight="1" x14ac:dyDescent="0.2">
      <c r="A115" s="35"/>
      <c r="B115" s="35"/>
      <c r="C115" s="4"/>
      <c r="D115" s="4"/>
      <c r="F115" s="39" t="s">
        <v>71</v>
      </c>
      <c r="H115" s="132">
        <f t="shared" ref="H115:Y115" si="91">IF(H$114=0,0,(H$137*1000)/H$114)</f>
        <v>0</v>
      </c>
      <c r="I115" s="132" t="e">
        <f t="shared" si="91"/>
        <v>#REF!</v>
      </c>
      <c r="J115" s="132">
        <f t="shared" si="91"/>
        <v>0</v>
      </c>
      <c r="K115" s="133">
        <f t="shared" si="91"/>
        <v>0</v>
      </c>
      <c r="L115" s="133">
        <f t="shared" si="91"/>
        <v>0</v>
      </c>
      <c r="M115" s="132">
        <f t="shared" si="91"/>
        <v>0</v>
      </c>
      <c r="N115" s="132" t="e">
        <f t="shared" si="91"/>
        <v>#REF!</v>
      </c>
      <c r="O115" s="132" t="e">
        <f t="shared" si="91"/>
        <v>#REF!</v>
      </c>
      <c r="P115" s="132" t="e">
        <f t="shared" si="91"/>
        <v>#REF!</v>
      </c>
      <c r="Q115" s="132" t="e">
        <f t="shared" si="91"/>
        <v>#REF!</v>
      </c>
      <c r="R115" s="132" t="e">
        <f t="shared" si="91"/>
        <v>#REF!</v>
      </c>
      <c r="S115" s="132" t="e">
        <f t="shared" si="91"/>
        <v>#REF!</v>
      </c>
      <c r="T115" s="132" t="e">
        <f t="shared" si="91"/>
        <v>#REF!</v>
      </c>
      <c r="U115" s="132" t="e">
        <f t="shared" si="91"/>
        <v>#REF!</v>
      </c>
      <c r="V115" s="132" t="e">
        <f t="shared" si="91"/>
        <v>#REF!</v>
      </c>
      <c r="W115" s="132" t="e">
        <f t="shared" si="91"/>
        <v>#REF!</v>
      </c>
      <c r="X115" s="132" t="e">
        <f t="shared" si="91"/>
        <v>#REF!</v>
      </c>
      <c r="Y115" s="132" t="e">
        <f t="shared" si="91"/>
        <v>#REF!</v>
      </c>
      <c r="AA115" s="132" t="e">
        <f>$K115*#REF!/12</f>
        <v>#REF!</v>
      </c>
      <c r="AB115" s="134" t="e">
        <f t="shared" si="89"/>
        <v>#REF!</v>
      </c>
      <c r="AD115" s="132" t="e">
        <f>$L115*#REF!/12</f>
        <v>#REF!</v>
      </c>
      <c r="AE115" s="134" t="e">
        <f t="shared" si="90"/>
        <v>#REF!</v>
      </c>
    </row>
    <row r="116" spans="1:31" ht="18" customHeight="1" x14ac:dyDescent="0.2">
      <c r="A116" s="30" t="s">
        <v>63</v>
      </c>
      <c r="B116" s="30" t="s">
        <v>18</v>
      </c>
      <c r="C116" s="4" t="e">
        <f t="shared" ref="C116:C137" si="92">IF(AND($Y116=0,AA116=0),0,IF(AA116=0,IF($Y116&gt;=0,AB116/$Y116,-AB116/$Y116),IF(AA116&gt;=0,AB116/AA116,-AB116/AA116)))</f>
        <v>#REF!</v>
      </c>
      <c r="D116" s="4" t="e">
        <f t="shared" ref="D116:D137" si="93">IF(AND($Y116=0,AD116=0),0,IF(AD116=0,IF($Y116&gt;=0,AE116/$Y116,-AE116/$Y116),IF(AD116&gt;=0,AE116/AD116,-AE116/AD116)))</f>
        <v>#REF!</v>
      </c>
      <c r="F116" s="106" t="s">
        <v>401</v>
      </c>
      <c r="H116" s="61">
        <f>_xll.GetCtData("PKAMOUNT","AMOUNT",$A$1:$A$3,$A116:$B116,H$3:H$5,"#")</f>
        <v>0</v>
      </c>
      <c r="I116" s="61">
        <f>_xll.GetCtData("PKAMOUNT","AMOUNT",$A$1:$A$3,$A116:$B116,I$3:I$5,"#")</f>
        <v>0</v>
      </c>
      <c r="J116" s="61">
        <f>_xll.GetCtData("PKAMOUNT","AMOUNT",$A$1:$A$3,$A116:$B116,J$3:J$5,"#")</f>
        <v>0</v>
      </c>
      <c r="K116" s="86">
        <f>_xll.GetCtData("PKAMOUNT","AMOUNT",$A$1:$A$3,$A116:$B116,K$3:K$5,"#")</f>
        <v>0</v>
      </c>
      <c r="L116" s="86">
        <f>_xll.GetCtData("PKAMOUNT","AMOUNT",$A$1:$A$3,$A116:$B116,L$3:L$5,"#")</f>
        <v>0</v>
      </c>
      <c r="M116" s="61">
        <f>_xll.GetCtData("PKAMOUNT","AMOUNT",$A$1:$A$3,$A116:$B116,M$3:M$5,"#")</f>
        <v>0</v>
      </c>
      <c r="N116" s="61" t="e">
        <f>IF(N$1&lt;=#REF!,_xll.GetCtData("PKAMOUNT","AMOUNT",$A$1:$A$3,$A116:$B116,N$3:N$5,"#")-SUM($M116:M116),0)</f>
        <v>#REF!</v>
      </c>
      <c r="O116" s="61" t="e">
        <f>IF(O$1&lt;=#REF!,_xll.GetCtData("PKAMOUNT","AMOUNT",$A$1:$A$3,$A116:$B116,O$3:O$5,"#")-SUM($M116:N116),0)</f>
        <v>#REF!</v>
      </c>
      <c r="P116" s="61" t="e">
        <f>IF(P$1&lt;=#REF!,_xll.GetCtData("PKAMOUNT","AMOUNT",$A$1:$A$3,$A116:$B116,P$3:P$5,"#")-SUM($M116:O116),0)</f>
        <v>#REF!</v>
      </c>
      <c r="Q116" s="61" t="e">
        <f>IF(Q$1&lt;=#REF!,_xll.GetCtData("PKAMOUNT","AMOUNT",$A$1:$A$3,$A116:$B116,Q$3:Q$5,"#")-SUM($M116:P116),0)</f>
        <v>#REF!</v>
      </c>
      <c r="R116" s="61" t="e">
        <f>IF(R$1&lt;=#REF!,_xll.GetCtData("PKAMOUNT","AMOUNT",$A$1:$A$3,$A116:$B116,R$3:R$5,"#")-SUM($M116:Q116),0)</f>
        <v>#REF!</v>
      </c>
      <c r="S116" s="61" t="e">
        <f>IF(S$1&lt;=#REF!,_xll.GetCtData("PKAMOUNT","AMOUNT",$A$1:$A$3,$A116:$B116,S$3:S$5,"#")-SUM($M116:R116),0)</f>
        <v>#REF!</v>
      </c>
      <c r="T116" s="61" t="e">
        <f>IF(T$1&lt;=#REF!,_xll.GetCtData("PKAMOUNT","AMOUNT",$A$1:$A$3,$A116:$B116,T$3:T$5,"#")-SUM($M116:S116),0)</f>
        <v>#REF!</v>
      </c>
      <c r="U116" s="61" t="e">
        <f>IF(U$1&lt;=#REF!,_xll.GetCtData("PKAMOUNT","AMOUNT",$A$1:$A$3,$A116:$B116,U$3:U$5,"#")-SUM($M116:T116),0)</f>
        <v>#REF!</v>
      </c>
      <c r="V116" s="61" t="e">
        <f>IF(V$1&lt;=#REF!,_xll.GetCtData("PKAMOUNT","AMOUNT",$A$1:$A$3,$A116:$B116,V$3:V$5,"#")-SUM($M116:U116),0)</f>
        <v>#REF!</v>
      </c>
      <c r="W116" s="61" t="e">
        <f>IF(W$1&lt;=#REF!,_xll.GetCtData("PKAMOUNT","AMOUNT",$A$1:$A$3,$A116:$B116,W$3:W$5,"#")-SUM($M116:V116),0)</f>
        <v>#REF!</v>
      </c>
      <c r="X116" s="61" t="e">
        <f>IF(X$1&lt;=#REF!,_xll.GetCtData("PKAMOUNT","AMOUNT",$A$1:$A$3,$A116:$B116,X$3:X$5,"#")-SUM($M116:W116),0)</f>
        <v>#REF!</v>
      </c>
      <c r="Y116" s="61">
        <f>_xll.GetCtData("PKAMOUNT","AMOUNT",$A$1:$A$3,$A116:$B116,Y$3:Y$5,"#")</f>
        <v>0</v>
      </c>
      <c r="AA116" s="61" t="e">
        <f>$K116*#REF!/12</f>
        <v>#REF!</v>
      </c>
      <c r="AB116" s="60" t="e">
        <f t="shared" si="89"/>
        <v>#REF!</v>
      </c>
      <c r="AD116" s="61" t="e">
        <f>$L116*#REF!/12</f>
        <v>#REF!</v>
      </c>
      <c r="AE116" s="60" t="e">
        <f t="shared" si="90"/>
        <v>#REF!</v>
      </c>
    </row>
    <row r="117" spans="1:31" ht="18" customHeight="1" x14ac:dyDescent="0.2">
      <c r="A117" s="30" t="s">
        <v>148</v>
      </c>
      <c r="B117" s="30" t="s">
        <v>18</v>
      </c>
      <c r="C117" s="4" t="e">
        <f>IF(AND($Y117=0,AA117=0),0,IF(AA117=0,IF($Y117&gt;=0,AB117/$Y117,-AB117/$Y117),IF(AA117&gt;=0,AB117/AA117,-AB117/AA117)))</f>
        <v>#REF!</v>
      </c>
      <c r="D117" s="4" t="e">
        <f>IF(AND($Y117=0,AD117=0),0,IF(AD117=0,IF($Y117&gt;=0,AE117/$Y117,-AE117/$Y117),IF(AD117&gt;=0,AE117/AD117,-AE117/AD117)))</f>
        <v>#REF!</v>
      </c>
      <c r="F117" s="106" t="s">
        <v>149</v>
      </c>
      <c r="H117" s="61">
        <f>_xll.GetCtData("PKAMOUNT","AMOUNT",$A$1:$A$3,$A117:$B117,H$3:H$5,"#")</f>
        <v>0</v>
      </c>
      <c r="I117" s="61">
        <f>_xll.GetCtData("PKAMOUNT","AMOUNT",$A$1:$A$3,$A117:$B117,I$3:I$5,"#")</f>
        <v>0</v>
      </c>
      <c r="J117" s="61">
        <f>_xll.GetCtData("PKAMOUNT","AMOUNT",$A$1:$A$3,$A117:$B117,J$3:J$5,"#")</f>
        <v>0</v>
      </c>
      <c r="K117" s="86">
        <f>_xll.GetCtData("PKAMOUNT","AMOUNT",$A$1:$A$3,$A117:$B117,K$3:K$5,"#")</f>
        <v>0</v>
      </c>
      <c r="L117" s="86">
        <f>_xll.GetCtData("PKAMOUNT","AMOUNT",$A$1:$A$3,$A117:$B117,L$3:L$5,"#")</f>
        <v>0</v>
      </c>
      <c r="M117" s="61">
        <f>_xll.GetCtData("PKAMOUNT","AMOUNT",$A$1:$A$3,$A117:$B117,M$3:M$5,"#")</f>
        <v>0</v>
      </c>
      <c r="N117" s="61" t="e">
        <f>IF(N$1&lt;=#REF!,_xll.GetCtData("PKAMOUNT","AMOUNT",$A$1:$A$3,$A117:$B117,N$3:N$5,"#")-SUM($M117:M117),0)</f>
        <v>#REF!</v>
      </c>
      <c r="O117" s="61" t="e">
        <f>IF(O$1&lt;=#REF!,_xll.GetCtData("PKAMOUNT","AMOUNT",$A$1:$A$3,$A117:$B117,O$3:O$5,"#")-SUM($M117:N117),0)</f>
        <v>#REF!</v>
      </c>
      <c r="P117" s="61" t="e">
        <f>IF(P$1&lt;=#REF!,_xll.GetCtData("PKAMOUNT","AMOUNT",$A$1:$A$3,$A117:$B117,P$3:P$5,"#")-SUM($M117:O117),0)</f>
        <v>#REF!</v>
      </c>
      <c r="Q117" s="61" t="e">
        <f>IF(Q$1&lt;=#REF!,_xll.GetCtData("PKAMOUNT","AMOUNT",$A$1:$A$3,$A117:$B117,Q$3:Q$5,"#")-SUM($M117:P117),0)</f>
        <v>#REF!</v>
      </c>
      <c r="R117" s="61" t="e">
        <f>IF(R$1&lt;=#REF!,_xll.GetCtData("PKAMOUNT","AMOUNT",$A$1:$A$3,$A117:$B117,R$3:R$5,"#")-SUM($M117:Q117),0)</f>
        <v>#REF!</v>
      </c>
      <c r="S117" s="61" t="e">
        <f>IF(S$1&lt;=#REF!,_xll.GetCtData("PKAMOUNT","AMOUNT",$A$1:$A$3,$A117:$B117,S$3:S$5,"#")-SUM($M117:R117),0)</f>
        <v>#REF!</v>
      </c>
      <c r="T117" s="61" t="e">
        <f>IF(T$1&lt;=#REF!,_xll.GetCtData("PKAMOUNT","AMOUNT",$A$1:$A$3,$A117:$B117,T$3:T$5,"#")-SUM($M117:S117),0)</f>
        <v>#REF!</v>
      </c>
      <c r="U117" s="61" t="e">
        <f>IF(U$1&lt;=#REF!,_xll.GetCtData("PKAMOUNT","AMOUNT",$A$1:$A$3,$A117:$B117,U$3:U$5,"#")-SUM($M117:T117),0)</f>
        <v>#REF!</v>
      </c>
      <c r="V117" s="61" t="e">
        <f>IF(V$1&lt;=#REF!,_xll.GetCtData("PKAMOUNT","AMOUNT",$A$1:$A$3,$A117:$B117,V$3:V$5,"#")-SUM($M117:U117),0)</f>
        <v>#REF!</v>
      </c>
      <c r="W117" s="61" t="e">
        <f>IF(W$1&lt;=#REF!,_xll.GetCtData("PKAMOUNT","AMOUNT",$A$1:$A$3,$A117:$B117,W$3:W$5,"#")-SUM($M117:V117),0)</f>
        <v>#REF!</v>
      </c>
      <c r="X117" s="61" t="e">
        <f>IF(X$1&lt;=#REF!,_xll.GetCtData("PKAMOUNT","AMOUNT",$A$1:$A$3,$A117:$B117,X$3:X$5,"#")-SUM($M117:W117),0)</f>
        <v>#REF!</v>
      </c>
      <c r="Y117" s="61">
        <f>_xll.GetCtData("PKAMOUNT","AMOUNT",$A$1:$A$3,$A117:$B117,Y$3:Y$5,"#")</f>
        <v>0</v>
      </c>
      <c r="AA117" s="61" t="e">
        <f>$K117*#REF!/12</f>
        <v>#REF!</v>
      </c>
      <c r="AB117" s="60" t="e">
        <f>ROUND($Y117-AA117,2)</f>
        <v>#REF!</v>
      </c>
      <c r="AD117" s="61" t="e">
        <f>$L117*#REF!/12</f>
        <v>#REF!</v>
      </c>
      <c r="AE117" s="60" t="e">
        <f>ROUND($Y117-AD117,2)</f>
        <v>#REF!</v>
      </c>
    </row>
    <row r="118" spans="1:31" ht="18" customHeight="1" x14ac:dyDescent="0.2">
      <c r="A118" s="30" t="s">
        <v>64</v>
      </c>
      <c r="B118" s="30" t="s">
        <v>18</v>
      </c>
      <c r="C118" s="4" t="e">
        <f t="shared" si="92"/>
        <v>#REF!</v>
      </c>
      <c r="D118" s="4" t="e">
        <f t="shared" si="93"/>
        <v>#REF!</v>
      </c>
      <c r="F118" s="106" t="s">
        <v>202</v>
      </c>
      <c r="H118" s="61">
        <f>_xll.GetCtData("PKAMOUNT","AMOUNT",$A$1:$A$3,$A118:$B118,H$3:H$5,"#")</f>
        <v>0</v>
      </c>
      <c r="I118" s="61">
        <f>_xll.GetCtData("PKAMOUNT","AMOUNT",$A$1:$A$3,$A118:$B118,I$3:I$5,"#")</f>
        <v>0</v>
      </c>
      <c r="J118" s="61">
        <f>_xll.GetCtData("PKAMOUNT","AMOUNT",$A$1:$A$3,$A118:$B118,J$3:J$5,"#")</f>
        <v>0</v>
      </c>
      <c r="K118" s="86">
        <f>_xll.GetCtData("PKAMOUNT","AMOUNT",$A$1:$A$3,$A118:$B118,K$3:K$5,"#")</f>
        <v>0</v>
      </c>
      <c r="L118" s="86">
        <f>_xll.GetCtData("PKAMOUNT","AMOUNT",$A$1:$A$3,$A118:$B118,L$3:L$5,"#")</f>
        <v>0</v>
      </c>
      <c r="M118" s="61">
        <f>_xll.GetCtData("PKAMOUNT","AMOUNT",$A$1:$A$3,$A118:$B118,M$3:M$5,"#")</f>
        <v>0</v>
      </c>
      <c r="N118" s="61" t="e">
        <f>IF(N$1&lt;=#REF!,_xll.GetCtData("PKAMOUNT","AMOUNT",$A$1:$A$3,$A118:$B118,N$3:N$5,"#")-SUM($M118:M118),0)</f>
        <v>#REF!</v>
      </c>
      <c r="O118" s="61" t="e">
        <f>IF(O$1&lt;=#REF!,_xll.GetCtData("PKAMOUNT","AMOUNT",$A$1:$A$3,$A118:$B118,O$3:O$5,"#")-SUM($M118:N118),0)</f>
        <v>#REF!</v>
      </c>
      <c r="P118" s="61" t="e">
        <f>IF(P$1&lt;=#REF!,_xll.GetCtData("PKAMOUNT","AMOUNT",$A$1:$A$3,$A118:$B118,P$3:P$5,"#")-SUM($M118:O118),0)</f>
        <v>#REF!</v>
      </c>
      <c r="Q118" s="61" t="e">
        <f>IF(Q$1&lt;=#REF!,_xll.GetCtData("PKAMOUNT","AMOUNT",$A$1:$A$3,$A118:$B118,Q$3:Q$5,"#")-SUM($M118:P118),0)</f>
        <v>#REF!</v>
      </c>
      <c r="R118" s="61" t="e">
        <f>IF(R$1&lt;=#REF!,_xll.GetCtData("PKAMOUNT","AMOUNT",$A$1:$A$3,$A118:$B118,R$3:R$5,"#")-SUM($M118:Q118),0)</f>
        <v>#REF!</v>
      </c>
      <c r="S118" s="61" t="e">
        <f>IF(S$1&lt;=#REF!,_xll.GetCtData("PKAMOUNT","AMOUNT",$A$1:$A$3,$A118:$B118,S$3:S$5,"#")-SUM($M118:R118),0)</f>
        <v>#REF!</v>
      </c>
      <c r="T118" s="61" t="e">
        <f>IF(T$1&lt;=#REF!,_xll.GetCtData("PKAMOUNT","AMOUNT",$A$1:$A$3,$A118:$B118,T$3:T$5,"#")-SUM($M118:S118),0)</f>
        <v>#REF!</v>
      </c>
      <c r="U118" s="61" t="e">
        <f>IF(U$1&lt;=#REF!,_xll.GetCtData("PKAMOUNT","AMOUNT",$A$1:$A$3,$A118:$B118,U$3:U$5,"#")-SUM($M118:T118),0)</f>
        <v>#REF!</v>
      </c>
      <c r="V118" s="61" t="e">
        <f>IF(V$1&lt;=#REF!,_xll.GetCtData("PKAMOUNT","AMOUNT",$A$1:$A$3,$A118:$B118,V$3:V$5,"#")-SUM($M118:U118),0)</f>
        <v>#REF!</v>
      </c>
      <c r="W118" s="61" t="e">
        <f>IF(W$1&lt;=#REF!,_xll.GetCtData("PKAMOUNT","AMOUNT",$A$1:$A$3,$A118:$B118,W$3:W$5,"#")-SUM($M118:V118),0)</f>
        <v>#REF!</v>
      </c>
      <c r="X118" s="61" t="e">
        <f>IF(X$1&lt;=#REF!,_xll.GetCtData("PKAMOUNT","AMOUNT",$A$1:$A$3,$A118:$B118,X$3:X$5,"#")-SUM($M118:W118),0)</f>
        <v>#REF!</v>
      </c>
      <c r="Y118" s="61">
        <f>_xll.GetCtData("PKAMOUNT","AMOUNT",$A$1:$A$3,$A118:$B118,Y$3:Y$5,"#")</f>
        <v>0</v>
      </c>
      <c r="AA118" s="61" t="e">
        <f>$K118*#REF!/12</f>
        <v>#REF!</v>
      </c>
      <c r="AB118" s="60" t="e">
        <f t="shared" si="89"/>
        <v>#REF!</v>
      </c>
      <c r="AD118" s="61" t="e">
        <f>$L118*#REF!/12</f>
        <v>#REF!</v>
      </c>
      <c r="AE118" s="60" t="e">
        <f t="shared" si="90"/>
        <v>#REF!</v>
      </c>
    </row>
    <row r="119" spans="1:31" ht="18" hidden="1" customHeight="1" outlineLevel="1" x14ac:dyDescent="0.2">
      <c r="A119" s="30" t="s">
        <v>150</v>
      </c>
      <c r="B119" s="30" t="s">
        <v>18</v>
      </c>
      <c r="C119" s="4" t="e">
        <f t="shared" si="92"/>
        <v>#REF!</v>
      </c>
      <c r="D119" s="4" t="e">
        <f t="shared" si="93"/>
        <v>#REF!</v>
      </c>
      <c r="F119" s="38" t="s">
        <v>151</v>
      </c>
      <c r="G119" s="34"/>
      <c r="H119" s="66">
        <f>_xll.GetCtData("PKAMOUNT","AMOUNT",$A$1:$A$3,$A119:$B119,H$3:H$5,"#")</f>
        <v>0</v>
      </c>
      <c r="I119" s="66">
        <f>_xll.GetCtData("PKAMOUNT","AMOUNT",$A$1:$A$3,$A119:$B119,I$3:I$5,"#")</f>
        <v>0</v>
      </c>
      <c r="J119" s="66">
        <f>_xll.GetCtData("PKAMOUNT","AMOUNT",$A$1:$A$3,$A119:$B119,J$3:J$5,"#")</f>
        <v>0</v>
      </c>
      <c r="K119" s="86">
        <f>_xll.GetCtData("PKAMOUNT","AMOUNT",$A$1:$A$3,$A119:$B119,K$3:K$5,"#")</f>
        <v>0</v>
      </c>
      <c r="L119" s="86">
        <f>_xll.GetCtData("PKAMOUNT","AMOUNT",$A$1:$A$3,$A119:$B119,L$3:L$5,"#")</f>
        <v>0</v>
      </c>
      <c r="M119" s="66">
        <f>_xll.GetCtData("PKAMOUNT","AMOUNT",$A$1:$A$3,$A119:$B119,M$3:M$5,"#")</f>
        <v>0</v>
      </c>
      <c r="N119" s="66" t="e">
        <f>IF(N$1&lt;=#REF!,_xll.GetCtData("PKAMOUNT","AMOUNT",$A$1:$A$3,$A119:$B119,N$3:N$5,"#")-SUM($M119:M119),0)</f>
        <v>#REF!</v>
      </c>
      <c r="O119" s="66" t="e">
        <f>IF(O$1&lt;=#REF!,_xll.GetCtData("PKAMOUNT","AMOUNT",$A$1:$A$3,$A119:$B119,O$3:O$5,"#")-SUM($M119:N119),0)</f>
        <v>#REF!</v>
      </c>
      <c r="P119" s="66" t="e">
        <f>IF(P$1&lt;=#REF!,_xll.GetCtData("PKAMOUNT","AMOUNT",$A$1:$A$3,$A119:$B119,P$3:P$5,"#")-SUM($M119:O119),0)</f>
        <v>#REF!</v>
      </c>
      <c r="Q119" s="66" t="e">
        <f>IF(Q$1&lt;=#REF!,_xll.GetCtData("PKAMOUNT","AMOUNT",$A$1:$A$3,$A119:$B119,Q$3:Q$5,"#")-SUM($M119:P119),0)</f>
        <v>#REF!</v>
      </c>
      <c r="R119" s="66" t="e">
        <f>IF(R$1&lt;=#REF!,_xll.GetCtData("PKAMOUNT","AMOUNT",$A$1:$A$3,$A119:$B119,R$3:R$5,"#")-SUM($M119:Q119),0)</f>
        <v>#REF!</v>
      </c>
      <c r="S119" s="66" t="e">
        <f>IF(S$1&lt;=#REF!,_xll.GetCtData("PKAMOUNT","AMOUNT",$A$1:$A$3,$A119:$B119,S$3:S$5,"#")-SUM($M119:R119),0)</f>
        <v>#REF!</v>
      </c>
      <c r="T119" s="66" t="e">
        <f>IF(T$1&lt;=#REF!,_xll.GetCtData("PKAMOUNT","AMOUNT",$A$1:$A$3,$A119:$B119,T$3:T$5,"#")-SUM($M119:S119),0)</f>
        <v>#REF!</v>
      </c>
      <c r="U119" s="66" t="e">
        <f>IF(U$1&lt;=#REF!,_xll.GetCtData("PKAMOUNT","AMOUNT",$A$1:$A$3,$A119:$B119,U$3:U$5,"#")-SUM($M119:T119),0)</f>
        <v>#REF!</v>
      </c>
      <c r="V119" s="66" t="e">
        <f>IF(V$1&lt;=#REF!,_xll.GetCtData("PKAMOUNT","AMOUNT",$A$1:$A$3,$A119:$B119,V$3:V$5,"#")-SUM($M119:U119),0)</f>
        <v>#REF!</v>
      </c>
      <c r="W119" s="66" t="e">
        <f>IF(W$1&lt;=#REF!,_xll.GetCtData("PKAMOUNT","AMOUNT",$A$1:$A$3,$A119:$B119,W$3:W$5,"#")-SUM($M119:V119),0)</f>
        <v>#REF!</v>
      </c>
      <c r="X119" s="66" t="e">
        <f>IF(X$1&lt;=#REF!,_xll.GetCtData("PKAMOUNT","AMOUNT",$A$1:$A$3,$A119:$B119,X$3:X$5,"#")-SUM($M119:W119),0)</f>
        <v>#REF!</v>
      </c>
      <c r="Y119" s="66">
        <f>_xll.GetCtData("PKAMOUNT","AMOUNT",$A$1:$A$3,$A119:$B119,Y$3:Y$5,"#")</f>
        <v>0</v>
      </c>
      <c r="Z119" s="34"/>
      <c r="AA119" s="66" t="e">
        <f>$K119*#REF!/12</f>
        <v>#REF!</v>
      </c>
      <c r="AB119" s="60" t="e">
        <f t="shared" si="89"/>
        <v>#REF!</v>
      </c>
      <c r="AC119" s="34"/>
      <c r="AD119" s="66" t="e">
        <f>$L119*#REF!/12</f>
        <v>#REF!</v>
      </c>
      <c r="AE119" s="60" t="e">
        <f t="shared" si="90"/>
        <v>#REF!</v>
      </c>
    </row>
    <row r="120" spans="1:31" ht="18" hidden="1" customHeight="1" outlineLevel="1" x14ac:dyDescent="0.2">
      <c r="A120" s="30" t="s">
        <v>168</v>
      </c>
      <c r="B120" s="30" t="s">
        <v>18</v>
      </c>
      <c r="C120" s="4" t="e">
        <f t="shared" si="92"/>
        <v>#REF!</v>
      </c>
      <c r="D120" s="4" t="e">
        <f t="shared" si="93"/>
        <v>#REF!</v>
      </c>
      <c r="F120" s="38" t="s">
        <v>169</v>
      </c>
      <c r="G120" s="34"/>
      <c r="H120" s="66">
        <f>_xll.GetCtData("PKAMOUNT","AMOUNT",$A$1:$A$3,$A120:$B120,H$3:H$5,"#")</f>
        <v>0</v>
      </c>
      <c r="I120" s="66">
        <f>_xll.GetCtData("PKAMOUNT","AMOUNT",$A$1:$A$3,$A120:$B120,I$3:I$5,"#")</f>
        <v>0</v>
      </c>
      <c r="J120" s="66">
        <f>_xll.GetCtData("PKAMOUNT","AMOUNT",$A$1:$A$3,$A120:$B120,J$3:J$5,"#")</f>
        <v>0</v>
      </c>
      <c r="K120" s="86">
        <f>_xll.GetCtData("PKAMOUNT","AMOUNT",$A$1:$A$3,$A120:$B120,K$3:K$5,"#")</f>
        <v>0</v>
      </c>
      <c r="L120" s="86">
        <f>_xll.GetCtData("PKAMOUNT","AMOUNT",$A$1:$A$3,$A120:$B120,L$3:L$5,"#")</f>
        <v>0</v>
      </c>
      <c r="M120" s="66">
        <f>_xll.GetCtData("PKAMOUNT","AMOUNT",$A$1:$A$3,$A120:$B120,M$3:M$5,"#")</f>
        <v>0</v>
      </c>
      <c r="N120" s="66" t="e">
        <f>IF(N$1&lt;=#REF!,_xll.GetCtData("PKAMOUNT","AMOUNT",$A$1:$A$3,$A120:$B120,N$3:N$5,"#")-SUM($M120:M120),0)</f>
        <v>#REF!</v>
      </c>
      <c r="O120" s="66" t="e">
        <f>IF(O$1&lt;=#REF!,_xll.GetCtData("PKAMOUNT","AMOUNT",$A$1:$A$3,$A120:$B120,O$3:O$5,"#")-SUM($M120:N120),0)</f>
        <v>#REF!</v>
      </c>
      <c r="P120" s="66" t="e">
        <f>IF(P$1&lt;=#REF!,_xll.GetCtData("PKAMOUNT","AMOUNT",$A$1:$A$3,$A120:$B120,P$3:P$5,"#")-SUM($M120:O120),0)</f>
        <v>#REF!</v>
      </c>
      <c r="Q120" s="66" t="e">
        <f>IF(Q$1&lt;=#REF!,_xll.GetCtData("PKAMOUNT","AMOUNT",$A$1:$A$3,$A120:$B120,Q$3:Q$5,"#")-SUM($M120:P120),0)</f>
        <v>#REF!</v>
      </c>
      <c r="R120" s="66" t="e">
        <f>IF(R$1&lt;=#REF!,_xll.GetCtData("PKAMOUNT","AMOUNT",$A$1:$A$3,$A120:$B120,R$3:R$5,"#")-SUM($M120:Q120),0)</f>
        <v>#REF!</v>
      </c>
      <c r="S120" s="66" t="e">
        <f>IF(S$1&lt;=#REF!,_xll.GetCtData("PKAMOUNT","AMOUNT",$A$1:$A$3,$A120:$B120,S$3:S$5,"#")-SUM($M120:R120),0)</f>
        <v>#REF!</v>
      </c>
      <c r="T120" s="66" t="e">
        <f>IF(T$1&lt;=#REF!,_xll.GetCtData("PKAMOUNT","AMOUNT",$A$1:$A$3,$A120:$B120,T$3:T$5,"#")-SUM($M120:S120),0)</f>
        <v>#REF!</v>
      </c>
      <c r="U120" s="66" t="e">
        <f>IF(U$1&lt;=#REF!,_xll.GetCtData("PKAMOUNT","AMOUNT",$A$1:$A$3,$A120:$B120,U$3:U$5,"#")-SUM($M120:T120),0)</f>
        <v>#REF!</v>
      </c>
      <c r="V120" s="66" t="e">
        <f>IF(V$1&lt;=#REF!,_xll.GetCtData("PKAMOUNT","AMOUNT",$A$1:$A$3,$A120:$B120,V$3:V$5,"#")-SUM($M120:U120),0)</f>
        <v>#REF!</v>
      </c>
      <c r="W120" s="66" t="e">
        <f>IF(W$1&lt;=#REF!,_xll.GetCtData("PKAMOUNT","AMOUNT",$A$1:$A$3,$A120:$B120,W$3:W$5,"#")-SUM($M120:V120),0)</f>
        <v>#REF!</v>
      </c>
      <c r="X120" s="66" t="e">
        <f>IF(X$1&lt;=#REF!,_xll.GetCtData("PKAMOUNT","AMOUNT",$A$1:$A$3,$A120:$B120,X$3:X$5,"#")-SUM($M120:W120),0)</f>
        <v>#REF!</v>
      </c>
      <c r="Y120" s="66">
        <f>_xll.GetCtData("PKAMOUNT","AMOUNT",$A$1:$A$3,$A120:$B120,Y$3:Y$5,"#")</f>
        <v>0</v>
      </c>
      <c r="Z120" s="34"/>
      <c r="AA120" s="66" t="e">
        <f>$K120*#REF!/12</f>
        <v>#REF!</v>
      </c>
      <c r="AB120" s="60" t="e">
        <f t="shared" si="89"/>
        <v>#REF!</v>
      </c>
      <c r="AC120" s="34"/>
      <c r="AD120" s="66" t="e">
        <f>$L120*#REF!/12</f>
        <v>#REF!</v>
      </c>
      <c r="AE120" s="60" t="e">
        <f t="shared" si="90"/>
        <v>#REF!</v>
      </c>
    </row>
    <row r="121" spans="1:31" ht="18" hidden="1" customHeight="1" outlineLevel="1" x14ac:dyDescent="0.2">
      <c r="A121" s="30" t="s">
        <v>170</v>
      </c>
      <c r="B121" s="30" t="s">
        <v>18</v>
      </c>
      <c r="C121" s="4" t="e">
        <f t="shared" si="92"/>
        <v>#REF!</v>
      </c>
      <c r="D121" s="4" t="e">
        <f t="shared" si="93"/>
        <v>#REF!</v>
      </c>
      <c r="F121" s="38" t="s">
        <v>171</v>
      </c>
      <c r="G121" s="34"/>
      <c r="H121" s="66">
        <f>_xll.GetCtData("PKAMOUNT","AMOUNT",$A$1:$A$3,$A121:$B121,H$3:H$5,"#")</f>
        <v>0</v>
      </c>
      <c r="I121" s="66">
        <f>_xll.GetCtData("PKAMOUNT","AMOUNT",$A$1:$A$3,$A121:$B121,I$3:I$5,"#")</f>
        <v>0</v>
      </c>
      <c r="J121" s="66">
        <f>_xll.GetCtData("PKAMOUNT","AMOUNT",$A$1:$A$3,$A121:$B121,J$3:J$5,"#")</f>
        <v>0</v>
      </c>
      <c r="K121" s="86">
        <f>_xll.GetCtData("PKAMOUNT","AMOUNT",$A$1:$A$3,$A121:$B121,K$3:K$5,"#")</f>
        <v>0</v>
      </c>
      <c r="L121" s="86">
        <f>_xll.GetCtData("PKAMOUNT","AMOUNT",$A$1:$A$3,$A121:$B121,L$3:L$5,"#")</f>
        <v>0</v>
      </c>
      <c r="M121" s="66">
        <f>_xll.GetCtData("PKAMOUNT","AMOUNT",$A$1:$A$3,$A121:$B121,M$3:M$5,"#")</f>
        <v>0</v>
      </c>
      <c r="N121" s="66" t="e">
        <f>IF(N$1&lt;=#REF!,_xll.GetCtData("PKAMOUNT","AMOUNT",$A$1:$A$3,$A121:$B121,N$3:N$5,"#")-SUM($M121:M121),0)</f>
        <v>#REF!</v>
      </c>
      <c r="O121" s="66" t="e">
        <f>IF(O$1&lt;=#REF!,_xll.GetCtData("PKAMOUNT","AMOUNT",$A$1:$A$3,$A121:$B121,O$3:O$5,"#")-SUM($M121:N121),0)</f>
        <v>#REF!</v>
      </c>
      <c r="P121" s="66" t="e">
        <f>IF(P$1&lt;=#REF!,_xll.GetCtData("PKAMOUNT","AMOUNT",$A$1:$A$3,$A121:$B121,P$3:P$5,"#")-SUM($M121:O121),0)</f>
        <v>#REF!</v>
      </c>
      <c r="Q121" s="66" t="e">
        <f>IF(Q$1&lt;=#REF!,_xll.GetCtData("PKAMOUNT","AMOUNT",$A$1:$A$3,$A121:$B121,Q$3:Q$5,"#")-SUM($M121:P121),0)</f>
        <v>#REF!</v>
      </c>
      <c r="R121" s="66" t="e">
        <f>IF(R$1&lt;=#REF!,_xll.GetCtData("PKAMOUNT","AMOUNT",$A$1:$A$3,$A121:$B121,R$3:R$5,"#")-SUM($M121:Q121),0)</f>
        <v>#REF!</v>
      </c>
      <c r="S121" s="66" t="e">
        <f>IF(S$1&lt;=#REF!,_xll.GetCtData("PKAMOUNT","AMOUNT",$A$1:$A$3,$A121:$B121,S$3:S$5,"#")-SUM($M121:R121),0)</f>
        <v>#REF!</v>
      </c>
      <c r="T121" s="66" t="e">
        <f>IF(T$1&lt;=#REF!,_xll.GetCtData("PKAMOUNT","AMOUNT",$A$1:$A$3,$A121:$B121,T$3:T$5,"#")-SUM($M121:S121),0)</f>
        <v>#REF!</v>
      </c>
      <c r="U121" s="66" t="e">
        <f>IF(U$1&lt;=#REF!,_xll.GetCtData("PKAMOUNT","AMOUNT",$A$1:$A$3,$A121:$B121,U$3:U$5,"#")-SUM($M121:T121),0)</f>
        <v>#REF!</v>
      </c>
      <c r="V121" s="66" t="e">
        <f>IF(V$1&lt;=#REF!,_xll.GetCtData("PKAMOUNT","AMOUNT",$A$1:$A$3,$A121:$B121,V$3:V$5,"#")-SUM($M121:U121),0)</f>
        <v>#REF!</v>
      </c>
      <c r="W121" s="66" t="e">
        <f>IF(W$1&lt;=#REF!,_xll.GetCtData("PKAMOUNT","AMOUNT",$A$1:$A$3,$A121:$B121,W$3:W$5,"#")-SUM($M121:V121),0)</f>
        <v>#REF!</v>
      </c>
      <c r="X121" s="66" t="e">
        <f>IF(X$1&lt;=#REF!,_xll.GetCtData("PKAMOUNT","AMOUNT",$A$1:$A$3,$A121:$B121,X$3:X$5,"#")-SUM($M121:W121),0)</f>
        <v>#REF!</v>
      </c>
      <c r="Y121" s="66">
        <f>_xll.GetCtData("PKAMOUNT","AMOUNT",$A$1:$A$3,$A121:$B121,Y$3:Y$5,"#")</f>
        <v>0</v>
      </c>
      <c r="Z121" s="34"/>
      <c r="AA121" s="66" t="e">
        <f>$K121*#REF!/12</f>
        <v>#REF!</v>
      </c>
      <c r="AB121" s="60" t="e">
        <f t="shared" si="89"/>
        <v>#REF!</v>
      </c>
      <c r="AC121" s="34"/>
      <c r="AD121" s="66" t="e">
        <f>$L121*#REF!/12</f>
        <v>#REF!</v>
      </c>
      <c r="AE121" s="60" t="e">
        <f t="shared" si="90"/>
        <v>#REF!</v>
      </c>
    </row>
    <row r="122" spans="1:31" ht="18" customHeight="1" collapsed="1" x14ac:dyDescent="0.2">
      <c r="A122" s="35"/>
      <c r="B122" s="35"/>
      <c r="C122" s="4" t="e">
        <f t="shared" si="92"/>
        <v>#REF!</v>
      </c>
      <c r="D122" s="4" t="e">
        <f t="shared" si="93"/>
        <v>#REF!</v>
      </c>
      <c r="F122" s="106" t="s">
        <v>151</v>
      </c>
      <c r="H122" s="61">
        <f t="shared" ref="H122:Y122" si="94">H119+H120+H121</f>
        <v>0</v>
      </c>
      <c r="I122" s="61">
        <f t="shared" si="94"/>
        <v>0</v>
      </c>
      <c r="J122" s="61">
        <f t="shared" si="94"/>
        <v>0</v>
      </c>
      <c r="K122" s="86">
        <f t="shared" si="94"/>
        <v>0</v>
      </c>
      <c r="L122" s="86">
        <f t="shared" si="94"/>
        <v>0</v>
      </c>
      <c r="M122" s="61">
        <f t="shared" si="94"/>
        <v>0</v>
      </c>
      <c r="N122" s="61" t="e">
        <f t="shared" si="94"/>
        <v>#REF!</v>
      </c>
      <c r="O122" s="61" t="e">
        <f t="shared" si="94"/>
        <v>#REF!</v>
      </c>
      <c r="P122" s="61" t="e">
        <f t="shared" si="94"/>
        <v>#REF!</v>
      </c>
      <c r="Q122" s="61" t="e">
        <f t="shared" si="94"/>
        <v>#REF!</v>
      </c>
      <c r="R122" s="61" t="e">
        <f t="shared" si="94"/>
        <v>#REF!</v>
      </c>
      <c r="S122" s="61" t="e">
        <f t="shared" ref="S122:T122" si="95">S119+S120+S121</f>
        <v>#REF!</v>
      </c>
      <c r="T122" s="61" t="e">
        <f t="shared" si="95"/>
        <v>#REF!</v>
      </c>
      <c r="U122" s="61" t="e">
        <f t="shared" si="94"/>
        <v>#REF!</v>
      </c>
      <c r="V122" s="61" t="e">
        <f t="shared" si="94"/>
        <v>#REF!</v>
      </c>
      <c r="W122" s="61" t="e">
        <f t="shared" si="94"/>
        <v>#REF!</v>
      </c>
      <c r="X122" s="61" t="e">
        <f t="shared" si="94"/>
        <v>#REF!</v>
      </c>
      <c r="Y122" s="61">
        <f t="shared" si="94"/>
        <v>0</v>
      </c>
      <c r="AA122" s="61" t="e">
        <f>$K122*#REF!/12</f>
        <v>#REF!</v>
      </c>
      <c r="AB122" s="60" t="e">
        <f t="shared" si="89"/>
        <v>#REF!</v>
      </c>
      <c r="AD122" s="61" t="e">
        <f>$L122*#REF!/12</f>
        <v>#REF!</v>
      </c>
      <c r="AE122" s="60" t="e">
        <f t="shared" si="90"/>
        <v>#REF!</v>
      </c>
    </row>
    <row r="123" spans="1:31" ht="18" customHeight="1" collapsed="1" x14ac:dyDescent="0.2">
      <c r="A123" s="30" t="s">
        <v>146</v>
      </c>
      <c r="B123" s="30" t="s">
        <v>18</v>
      </c>
      <c r="C123" s="4" t="e">
        <f t="shared" si="92"/>
        <v>#REF!</v>
      </c>
      <c r="D123" s="4" t="e">
        <f t="shared" si="93"/>
        <v>#REF!</v>
      </c>
      <c r="F123" s="106" t="s">
        <v>147</v>
      </c>
      <c r="H123" s="61">
        <f>_xll.GetCtData("PKAMOUNT","AMOUNT",$A$1:$A$3,$A123:$B123,H$3:H$5,"#")</f>
        <v>0</v>
      </c>
      <c r="I123" s="61">
        <f>_xll.GetCtData("PKAMOUNT","AMOUNT",$A$1:$A$3,$A123:$B123,I$3:I$5,"#")</f>
        <v>0</v>
      </c>
      <c r="J123" s="61">
        <f>_xll.GetCtData("PKAMOUNT","AMOUNT",$A$1:$A$3,$A123:$B123,J$3:J$5,"#")</f>
        <v>0</v>
      </c>
      <c r="K123" s="86">
        <f>_xll.GetCtData("PKAMOUNT","AMOUNT",$A$1:$A$3,$A123:$B123,K$3:K$5,"#")</f>
        <v>0</v>
      </c>
      <c r="L123" s="86">
        <f>_xll.GetCtData("PKAMOUNT","AMOUNT",$A$1:$A$3,$A123:$B123,L$3:L$5,"#")</f>
        <v>0</v>
      </c>
      <c r="M123" s="61">
        <f>_xll.GetCtData("PKAMOUNT","AMOUNT",$A$1:$A$3,$A123:$B123,M$3:M$5,"#")</f>
        <v>0</v>
      </c>
      <c r="N123" s="61" t="e">
        <f>IF(N$1&lt;=#REF!,_xll.GetCtData("PKAMOUNT","AMOUNT",$A$1:$A$3,$A123:$B123,N$3:N$5,"#")-SUM($M123:M123),0)</f>
        <v>#REF!</v>
      </c>
      <c r="O123" s="61" t="e">
        <f>IF(O$1&lt;=#REF!,_xll.GetCtData("PKAMOUNT","AMOUNT",$A$1:$A$3,$A123:$B123,O$3:O$5,"#")-SUM($M123:N123),0)</f>
        <v>#REF!</v>
      </c>
      <c r="P123" s="61" t="e">
        <f>IF(P$1&lt;=#REF!,_xll.GetCtData("PKAMOUNT","AMOUNT",$A$1:$A$3,$A123:$B123,P$3:P$5,"#")-SUM($M123:O123),0)</f>
        <v>#REF!</v>
      </c>
      <c r="Q123" s="61" t="e">
        <f>IF(Q$1&lt;=#REF!,_xll.GetCtData("PKAMOUNT","AMOUNT",$A$1:$A$3,$A123:$B123,Q$3:Q$5,"#")-SUM($M123:P123),0)</f>
        <v>#REF!</v>
      </c>
      <c r="R123" s="61" t="e">
        <f>IF(R$1&lt;=#REF!,_xll.GetCtData("PKAMOUNT","AMOUNT",$A$1:$A$3,$A123:$B123,R$3:R$5,"#")-SUM($M123:Q123),0)</f>
        <v>#REF!</v>
      </c>
      <c r="S123" s="61" t="e">
        <f>IF(S$1&lt;=#REF!,_xll.GetCtData("PKAMOUNT","AMOUNT",$A$1:$A$3,$A123:$B123,S$3:S$5,"#")-SUM($M123:R123),0)</f>
        <v>#REF!</v>
      </c>
      <c r="T123" s="61" t="e">
        <f>IF(T$1&lt;=#REF!,_xll.GetCtData("PKAMOUNT","AMOUNT",$A$1:$A$3,$A123:$B123,T$3:T$5,"#")-SUM($M123:S123),0)</f>
        <v>#REF!</v>
      </c>
      <c r="U123" s="61" t="e">
        <f>IF(U$1&lt;=#REF!,_xll.GetCtData("PKAMOUNT","AMOUNT",$A$1:$A$3,$A123:$B123,U$3:U$5,"#")-SUM($M123:T123),0)</f>
        <v>#REF!</v>
      </c>
      <c r="V123" s="61" t="e">
        <f>IF(V$1&lt;=#REF!,_xll.GetCtData("PKAMOUNT","AMOUNT",$A$1:$A$3,$A123:$B123,V$3:V$5,"#")-SUM($M123:U123),0)</f>
        <v>#REF!</v>
      </c>
      <c r="W123" s="61" t="e">
        <f>IF(W$1&lt;=#REF!,_xll.GetCtData("PKAMOUNT","AMOUNT",$A$1:$A$3,$A123:$B123,W$3:W$5,"#")-SUM($M123:V123),0)</f>
        <v>#REF!</v>
      </c>
      <c r="X123" s="61" t="e">
        <f>IF(X$1&lt;=#REF!,_xll.GetCtData("PKAMOUNT","AMOUNT",$A$1:$A$3,$A123:$B123,X$3:X$5,"#")-SUM($M123:W123),0)</f>
        <v>#REF!</v>
      </c>
      <c r="Y123" s="61">
        <f>_xll.GetCtData("PKAMOUNT","AMOUNT",$A$1:$A$3,$A123:$B123,Y$3:Y$5,"#")</f>
        <v>0</v>
      </c>
      <c r="AA123" s="61" t="e">
        <f>$K123*#REF!/12</f>
        <v>#REF!</v>
      </c>
      <c r="AB123" s="60" t="e">
        <f t="shared" si="89"/>
        <v>#REF!</v>
      </c>
      <c r="AD123" s="61" t="e">
        <f>$L123*#REF!/12</f>
        <v>#REF!</v>
      </c>
      <c r="AE123" s="60" t="e">
        <f t="shared" si="90"/>
        <v>#REF!</v>
      </c>
    </row>
    <row r="124" spans="1:31" ht="18" hidden="1" customHeight="1" outlineLevel="1" x14ac:dyDescent="0.2">
      <c r="A124" s="30" t="s">
        <v>154</v>
      </c>
      <c r="B124" s="30" t="s">
        <v>18</v>
      </c>
      <c r="C124" s="4" t="e">
        <f t="shared" si="92"/>
        <v>#REF!</v>
      </c>
      <c r="D124" s="4" t="e">
        <f t="shared" si="93"/>
        <v>#REF!</v>
      </c>
      <c r="F124" s="38" t="s">
        <v>155</v>
      </c>
      <c r="G124" s="34"/>
      <c r="H124" s="66">
        <f>_xll.GetCtData("PKAMOUNT","AMOUNT",$A$1:$A$3,$A124:$B124,H$3:H$5,"#")</f>
        <v>0</v>
      </c>
      <c r="I124" s="66">
        <f>_xll.GetCtData("PKAMOUNT","AMOUNT",$A$1:$A$3,$A124:$B124,I$3:I$5,"#")</f>
        <v>0</v>
      </c>
      <c r="J124" s="66">
        <f>_xll.GetCtData("PKAMOUNT","AMOUNT",$A$1:$A$3,$A124:$B124,J$3:J$5,"#")</f>
        <v>0</v>
      </c>
      <c r="K124" s="86">
        <f>_xll.GetCtData("PKAMOUNT","AMOUNT",$A$1:$A$3,$A124:$B124,K$3:K$5,"#")</f>
        <v>0</v>
      </c>
      <c r="L124" s="86">
        <f>_xll.GetCtData("PKAMOUNT","AMOUNT",$A$1:$A$3,$A124:$B124,L$3:L$5,"#")</f>
        <v>0</v>
      </c>
      <c r="M124" s="66">
        <f>_xll.GetCtData("PKAMOUNT","AMOUNT",$A$1:$A$3,$A124:$B124,M$3:M$5,"#")</f>
        <v>0</v>
      </c>
      <c r="N124" s="66" t="e">
        <f>IF(N$1&lt;=#REF!,_xll.GetCtData("PKAMOUNT","AMOUNT",$A$1:$A$3,$A124:$B124,N$3:N$5,"#")-SUM($M124:M124),0)</f>
        <v>#REF!</v>
      </c>
      <c r="O124" s="66" t="e">
        <f>IF(O$1&lt;=#REF!,_xll.GetCtData("PKAMOUNT","AMOUNT",$A$1:$A$3,$A124:$B124,O$3:O$5,"#")-SUM($M124:N124),0)</f>
        <v>#REF!</v>
      </c>
      <c r="P124" s="66" t="e">
        <f>IF(P$1&lt;=#REF!,_xll.GetCtData("PKAMOUNT","AMOUNT",$A$1:$A$3,$A124:$B124,P$3:P$5,"#")-SUM($M124:O124),0)</f>
        <v>#REF!</v>
      </c>
      <c r="Q124" s="66" t="e">
        <f>IF(Q$1&lt;=#REF!,_xll.GetCtData("PKAMOUNT","AMOUNT",$A$1:$A$3,$A124:$B124,Q$3:Q$5,"#")-SUM($M124:P124),0)</f>
        <v>#REF!</v>
      </c>
      <c r="R124" s="66" t="e">
        <f>IF(R$1&lt;=#REF!,_xll.GetCtData("PKAMOUNT","AMOUNT",$A$1:$A$3,$A124:$B124,R$3:R$5,"#")-SUM($M124:Q124),0)</f>
        <v>#REF!</v>
      </c>
      <c r="S124" s="66" t="e">
        <f>IF(S$1&lt;=#REF!,_xll.GetCtData("PKAMOUNT","AMOUNT",$A$1:$A$3,$A124:$B124,S$3:S$5,"#")-SUM($M124:R124),0)</f>
        <v>#REF!</v>
      </c>
      <c r="T124" s="66" t="e">
        <f>IF(T$1&lt;=#REF!,_xll.GetCtData("PKAMOUNT","AMOUNT",$A$1:$A$3,$A124:$B124,T$3:T$5,"#")-SUM($M124:S124),0)</f>
        <v>#REF!</v>
      </c>
      <c r="U124" s="66" t="e">
        <f>IF(U$1&lt;=#REF!,_xll.GetCtData("PKAMOUNT","AMOUNT",$A$1:$A$3,$A124:$B124,U$3:U$5,"#")-SUM($M124:T124),0)</f>
        <v>#REF!</v>
      </c>
      <c r="V124" s="66" t="e">
        <f>IF(V$1&lt;=#REF!,_xll.GetCtData("PKAMOUNT","AMOUNT",$A$1:$A$3,$A124:$B124,V$3:V$5,"#")-SUM($M124:U124),0)</f>
        <v>#REF!</v>
      </c>
      <c r="W124" s="66" t="e">
        <f>IF(W$1&lt;=#REF!,_xll.GetCtData("PKAMOUNT","AMOUNT",$A$1:$A$3,$A124:$B124,W$3:W$5,"#")-SUM($M124:V124),0)</f>
        <v>#REF!</v>
      </c>
      <c r="X124" s="66" t="e">
        <f>IF(X$1&lt;=#REF!,_xll.GetCtData("PKAMOUNT","AMOUNT",$A$1:$A$3,$A124:$B124,X$3:X$5,"#")-SUM($M124:W124),0)</f>
        <v>#REF!</v>
      </c>
      <c r="Y124" s="66">
        <f>_xll.GetCtData("PKAMOUNT","AMOUNT",$A$1:$A$3,$A124:$B124,Y$3:Y$5,"#")</f>
        <v>0</v>
      </c>
      <c r="Z124" s="34"/>
      <c r="AA124" s="66" t="e">
        <f>$K124*#REF!/12</f>
        <v>#REF!</v>
      </c>
      <c r="AB124" s="60" t="e">
        <f t="shared" si="89"/>
        <v>#REF!</v>
      </c>
      <c r="AC124" s="34"/>
      <c r="AD124" s="66" t="e">
        <f>$L124*#REF!/12</f>
        <v>#REF!</v>
      </c>
      <c r="AE124" s="60" t="e">
        <f t="shared" si="90"/>
        <v>#REF!</v>
      </c>
    </row>
    <row r="125" spans="1:31" ht="18" hidden="1" customHeight="1" outlineLevel="1" x14ac:dyDescent="0.2">
      <c r="A125" s="30" t="s">
        <v>156</v>
      </c>
      <c r="B125" s="30" t="s">
        <v>18</v>
      </c>
      <c r="C125" s="4" t="e">
        <f t="shared" si="92"/>
        <v>#REF!</v>
      </c>
      <c r="D125" s="4" t="e">
        <f t="shared" si="93"/>
        <v>#REF!</v>
      </c>
      <c r="F125" s="38" t="s">
        <v>157</v>
      </c>
      <c r="G125" s="34"/>
      <c r="H125" s="66">
        <f>_xll.GetCtData("PKAMOUNT","AMOUNT",$A$1:$A$3,$A125:$B125,H$3:H$5,"#")</f>
        <v>0</v>
      </c>
      <c r="I125" s="66">
        <f>_xll.GetCtData("PKAMOUNT","AMOUNT",$A$1:$A$3,$A125:$B125,I$3:I$5,"#")</f>
        <v>0</v>
      </c>
      <c r="J125" s="66">
        <f>_xll.GetCtData("PKAMOUNT","AMOUNT",$A$1:$A$3,$A125:$B125,J$3:J$5,"#")</f>
        <v>0</v>
      </c>
      <c r="K125" s="86">
        <f>_xll.GetCtData("PKAMOUNT","AMOUNT",$A$1:$A$3,$A125:$B125,K$3:K$5,"#")</f>
        <v>0</v>
      </c>
      <c r="L125" s="86">
        <f>_xll.GetCtData("PKAMOUNT","AMOUNT",$A$1:$A$3,$A125:$B125,L$3:L$5,"#")</f>
        <v>0</v>
      </c>
      <c r="M125" s="66">
        <f>_xll.GetCtData("PKAMOUNT","AMOUNT",$A$1:$A$3,$A125:$B125,M$3:M$5,"#")</f>
        <v>0</v>
      </c>
      <c r="N125" s="66" t="e">
        <f>IF(N$1&lt;=#REF!,_xll.GetCtData("PKAMOUNT","AMOUNT",$A$1:$A$3,$A125:$B125,N$3:N$5,"#")-SUM($M125:M125),0)</f>
        <v>#REF!</v>
      </c>
      <c r="O125" s="66" t="e">
        <f>IF(O$1&lt;=#REF!,_xll.GetCtData("PKAMOUNT","AMOUNT",$A$1:$A$3,$A125:$B125,O$3:O$5,"#")-SUM($M125:N125),0)</f>
        <v>#REF!</v>
      </c>
      <c r="P125" s="66" t="e">
        <f>IF(P$1&lt;=#REF!,_xll.GetCtData("PKAMOUNT","AMOUNT",$A$1:$A$3,$A125:$B125,P$3:P$5,"#")-SUM($M125:O125),0)</f>
        <v>#REF!</v>
      </c>
      <c r="Q125" s="66" t="e">
        <f>IF(Q$1&lt;=#REF!,_xll.GetCtData("PKAMOUNT","AMOUNT",$A$1:$A$3,$A125:$B125,Q$3:Q$5,"#")-SUM($M125:P125),0)</f>
        <v>#REF!</v>
      </c>
      <c r="R125" s="66" t="e">
        <f>IF(R$1&lt;=#REF!,_xll.GetCtData("PKAMOUNT","AMOUNT",$A$1:$A$3,$A125:$B125,R$3:R$5,"#")-SUM($M125:Q125),0)</f>
        <v>#REF!</v>
      </c>
      <c r="S125" s="66" t="e">
        <f>IF(S$1&lt;=#REF!,_xll.GetCtData("PKAMOUNT","AMOUNT",$A$1:$A$3,$A125:$B125,S$3:S$5,"#")-SUM($M125:R125),0)</f>
        <v>#REF!</v>
      </c>
      <c r="T125" s="66" t="e">
        <f>IF(T$1&lt;=#REF!,_xll.GetCtData("PKAMOUNT","AMOUNT",$A$1:$A$3,$A125:$B125,T$3:T$5,"#")-SUM($M125:S125),0)</f>
        <v>#REF!</v>
      </c>
      <c r="U125" s="66" t="e">
        <f>IF(U$1&lt;=#REF!,_xll.GetCtData("PKAMOUNT","AMOUNT",$A$1:$A$3,$A125:$B125,U$3:U$5,"#")-SUM($M125:T125),0)</f>
        <v>#REF!</v>
      </c>
      <c r="V125" s="66" t="e">
        <f>IF(V$1&lt;=#REF!,_xll.GetCtData("PKAMOUNT","AMOUNT",$A$1:$A$3,$A125:$B125,V$3:V$5,"#")-SUM($M125:U125),0)</f>
        <v>#REF!</v>
      </c>
      <c r="W125" s="66" t="e">
        <f>IF(W$1&lt;=#REF!,_xll.GetCtData("PKAMOUNT","AMOUNT",$A$1:$A$3,$A125:$B125,W$3:W$5,"#")-SUM($M125:V125),0)</f>
        <v>#REF!</v>
      </c>
      <c r="X125" s="66" t="e">
        <f>IF(X$1&lt;=#REF!,_xll.GetCtData("PKAMOUNT","AMOUNT",$A$1:$A$3,$A125:$B125,X$3:X$5,"#")-SUM($M125:W125),0)</f>
        <v>#REF!</v>
      </c>
      <c r="Y125" s="66">
        <f>_xll.GetCtData("PKAMOUNT","AMOUNT",$A$1:$A$3,$A125:$B125,Y$3:Y$5,"#")</f>
        <v>0</v>
      </c>
      <c r="Z125" s="34"/>
      <c r="AA125" s="66" t="e">
        <f>$K125*#REF!/12</f>
        <v>#REF!</v>
      </c>
      <c r="AB125" s="60" t="e">
        <f t="shared" si="89"/>
        <v>#REF!</v>
      </c>
      <c r="AC125" s="34"/>
      <c r="AD125" s="66" t="e">
        <f>$L125*#REF!/12</f>
        <v>#REF!</v>
      </c>
      <c r="AE125" s="60" t="e">
        <f t="shared" si="90"/>
        <v>#REF!</v>
      </c>
    </row>
    <row r="126" spans="1:31" ht="18" hidden="1" customHeight="1" outlineLevel="1" x14ac:dyDescent="0.2">
      <c r="A126" s="30" t="s">
        <v>160</v>
      </c>
      <c r="B126" s="30" t="s">
        <v>18</v>
      </c>
      <c r="C126" s="4" t="e">
        <f t="shared" si="92"/>
        <v>#REF!</v>
      </c>
      <c r="D126" s="4" t="e">
        <f t="shared" si="93"/>
        <v>#REF!</v>
      </c>
      <c r="F126" s="38" t="s">
        <v>161</v>
      </c>
      <c r="G126" s="34"/>
      <c r="H126" s="66">
        <f>_xll.GetCtData("PKAMOUNT","AMOUNT",$A$1:$A$3,$A126:$B126,H$3:H$5,"#")</f>
        <v>0</v>
      </c>
      <c r="I126" s="66">
        <f>_xll.GetCtData("PKAMOUNT","AMOUNT",$A$1:$A$3,$A126:$B126,I$3:I$5,"#")</f>
        <v>0</v>
      </c>
      <c r="J126" s="66">
        <f>_xll.GetCtData("PKAMOUNT","AMOUNT",$A$1:$A$3,$A126:$B126,J$3:J$5,"#")</f>
        <v>0</v>
      </c>
      <c r="K126" s="86">
        <f>_xll.GetCtData("PKAMOUNT","AMOUNT",$A$1:$A$3,$A126:$B126,K$3:K$5,"#")</f>
        <v>0</v>
      </c>
      <c r="L126" s="86">
        <f>_xll.GetCtData("PKAMOUNT","AMOUNT",$A$1:$A$3,$A126:$B126,L$3:L$5,"#")</f>
        <v>0</v>
      </c>
      <c r="M126" s="66">
        <f>_xll.GetCtData("PKAMOUNT","AMOUNT",$A$1:$A$3,$A126:$B126,M$3:M$5,"#")</f>
        <v>0</v>
      </c>
      <c r="N126" s="66" t="e">
        <f>IF(N$1&lt;=#REF!,_xll.GetCtData("PKAMOUNT","AMOUNT",$A$1:$A$3,$A126:$B126,N$3:N$5,"#")-SUM($M126:M126),0)</f>
        <v>#REF!</v>
      </c>
      <c r="O126" s="66" t="e">
        <f>IF(O$1&lt;=#REF!,_xll.GetCtData("PKAMOUNT","AMOUNT",$A$1:$A$3,$A126:$B126,O$3:O$5,"#")-SUM($M126:N126),0)</f>
        <v>#REF!</v>
      </c>
      <c r="P126" s="66" t="e">
        <f>IF(P$1&lt;=#REF!,_xll.GetCtData("PKAMOUNT","AMOUNT",$A$1:$A$3,$A126:$B126,P$3:P$5,"#")-SUM($M126:O126),0)</f>
        <v>#REF!</v>
      </c>
      <c r="Q126" s="66" t="e">
        <f>IF(Q$1&lt;=#REF!,_xll.GetCtData("PKAMOUNT","AMOUNT",$A$1:$A$3,$A126:$B126,Q$3:Q$5,"#")-SUM($M126:P126),0)</f>
        <v>#REF!</v>
      </c>
      <c r="R126" s="66" t="e">
        <f>IF(R$1&lt;=#REF!,_xll.GetCtData("PKAMOUNT","AMOUNT",$A$1:$A$3,$A126:$B126,R$3:R$5,"#")-SUM($M126:Q126),0)</f>
        <v>#REF!</v>
      </c>
      <c r="S126" s="66" t="e">
        <f>IF(S$1&lt;=#REF!,_xll.GetCtData("PKAMOUNT","AMOUNT",$A$1:$A$3,$A126:$B126,S$3:S$5,"#")-SUM($M126:R126),0)</f>
        <v>#REF!</v>
      </c>
      <c r="T126" s="66" t="e">
        <f>IF(T$1&lt;=#REF!,_xll.GetCtData("PKAMOUNT","AMOUNT",$A$1:$A$3,$A126:$B126,T$3:T$5,"#")-SUM($M126:S126),0)</f>
        <v>#REF!</v>
      </c>
      <c r="U126" s="66" t="e">
        <f>IF(U$1&lt;=#REF!,_xll.GetCtData("PKAMOUNT","AMOUNT",$A$1:$A$3,$A126:$B126,U$3:U$5,"#")-SUM($M126:T126),0)</f>
        <v>#REF!</v>
      </c>
      <c r="V126" s="66" t="e">
        <f>IF(V$1&lt;=#REF!,_xll.GetCtData("PKAMOUNT","AMOUNT",$A$1:$A$3,$A126:$B126,V$3:V$5,"#")-SUM($M126:U126),0)</f>
        <v>#REF!</v>
      </c>
      <c r="W126" s="66" t="e">
        <f>IF(W$1&lt;=#REF!,_xll.GetCtData("PKAMOUNT","AMOUNT",$A$1:$A$3,$A126:$B126,W$3:W$5,"#")-SUM($M126:V126),0)</f>
        <v>#REF!</v>
      </c>
      <c r="X126" s="66" t="e">
        <f>IF(X$1&lt;=#REF!,_xll.GetCtData("PKAMOUNT","AMOUNT",$A$1:$A$3,$A126:$B126,X$3:X$5,"#")-SUM($M126:W126),0)</f>
        <v>#REF!</v>
      </c>
      <c r="Y126" s="66">
        <f>_xll.GetCtData("PKAMOUNT","AMOUNT",$A$1:$A$3,$A126:$B126,Y$3:Y$5,"#")</f>
        <v>0</v>
      </c>
      <c r="Z126" s="34"/>
      <c r="AA126" s="66" t="e">
        <f>$K126*#REF!/12</f>
        <v>#REF!</v>
      </c>
      <c r="AB126" s="60" t="e">
        <f t="shared" si="89"/>
        <v>#REF!</v>
      </c>
      <c r="AC126" s="34"/>
      <c r="AD126" s="66" t="e">
        <f>$L126*#REF!/12</f>
        <v>#REF!</v>
      </c>
      <c r="AE126" s="60" t="e">
        <f t="shared" si="90"/>
        <v>#REF!</v>
      </c>
    </row>
    <row r="127" spans="1:31" ht="18" customHeight="1" collapsed="1" x14ac:dyDescent="0.2">
      <c r="A127" s="35"/>
      <c r="B127" s="35"/>
      <c r="C127" s="4" t="e">
        <f t="shared" si="92"/>
        <v>#REF!</v>
      </c>
      <c r="D127" s="4" t="e">
        <f t="shared" si="93"/>
        <v>#REF!</v>
      </c>
      <c r="F127" s="106" t="s">
        <v>378</v>
      </c>
      <c r="H127" s="61">
        <f>H124+H125+H126</f>
        <v>0</v>
      </c>
      <c r="I127" s="61">
        <f t="shared" ref="I127:Y127" si="96">I124+I125+I126</f>
        <v>0</v>
      </c>
      <c r="J127" s="61">
        <f t="shared" si="96"/>
        <v>0</v>
      </c>
      <c r="K127" s="86">
        <f t="shared" si="96"/>
        <v>0</v>
      </c>
      <c r="L127" s="86">
        <f t="shared" si="96"/>
        <v>0</v>
      </c>
      <c r="M127" s="61">
        <f t="shared" si="96"/>
        <v>0</v>
      </c>
      <c r="N127" s="61" t="e">
        <f t="shared" si="96"/>
        <v>#REF!</v>
      </c>
      <c r="O127" s="61" t="e">
        <f t="shared" si="96"/>
        <v>#REF!</v>
      </c>
      <c r="P127" s="61" t="e">
        <f t="shared" si="96"/>
        <v>#REF!</v>
      </c>
      <c r="Q127" s="61" t="e">
        <f t="shared" si="96"/>
        <v>#REF!</v>
      </c>
      <c r="R127" s="61" t="e">
        <f t="shared" si="96"/>
        <v>#REF!</v>
      </c>
      <c r="S127" s="61" t="e">
        <f t="shared" ref="S127:T127" si="97">S124+S125+S126</f>
        <v>#REF!</v>
      </c>
      <c r="T127" s="61" t="e">
        <f t="shared" si="97"/>
        <v>#REF!</v>
      </c>
      <c r="U127" s="61" t="e">
        <f t="shared" si="96"/>
        <v>#REF!</v>
      </c>
      <c r="V127" s="61" t="e">
        <f t="shared" si="96"/>
        <v>#REF!</v>
      </c>
      <c r="W127" s="61" t="e">
        <f t="shared" si="96"/>
        <v>#REF!</v>
      </c>
      <c r="X127" s="61" t="e">
        <f t="shared" si="96"/>
        <v>#REF!</v>
      </c>
      <c r="Y127" s="61">
        <f t="shared" si="96"/>
        <v>0</v>
      </c>
      <c r="AA127" s="61" t="e">
        <f>$K127*#REF!/12</f>
        <v>#REF!</v>
      </c>
      <c r="AB127" s="60" t="e">
        <f t="shared" si="89"/>
        <v>#REF!</v>
      </c>
      <c r="AD127" s="61" t="e">
        <f>$L127*#REF!/12</f>
        <v>#REF!</v>
      </c>
      <c r="AE127" s="60" t="e">
        <f t="shared" si="90"/>
        <v>#REF!</v>
      </c>
    </row>
    <row r="128" spans="1:31" ht="18" hidden="1" customHeight="1" outlineLevel="1" x14ac:dyDescent="0.2">
      <c r="A128" s="30" t="s">
        <v>158</v>
      </c>
      <c r="B128" s="30" t="s">
        <v>18</v>
      </c>
      <c r="C128" s="4" t="e">
        <f t="shared" si="92"/>
        <v>#REF!</v>
      </c>
      <c r="D128" s="4" t="e">
        <f t="shared" si="93"/>
        <v>#REF!</v>
      </c>
      <c r="F128" s="38" t="s">
        <v>159</v>
      </c>
      <c r="G128" s="34"/>
      <c r="H128" s="66">
        <f>_xll.GetCtData("PKAMOUNT","AMOUNT",$A$1:$A$3,$A128:$B128,H$3:H$5,"#")</f>
        <v>0</v>
      </c>
      <c r="I128" s="66">
        <f>_xll.GetCtData("PKAMOUNT","AMOUNT",$A$1:$A$3,$A128:$B128,I$3:I$5,"#")</f>
        <v>0</v>
      </c>
      <c r="J128" s="66">
        <f>_xll.GetCtData("PKAMOUNT","AMOUNT",$A$1:$A$3,$A128:$B128,J$3:J$5,"#")</f>
        <v>0</v>
      </c>
      <c r="K128" s="86">
        <f>_xll.GetCtData("PKAMOUNT","AMOUNT",$A$1:$A$3,$A128:$B128,K$3:K$5,"#")</f>
        <v>0</v>
      </c>
      <c r="L128" s="86">
        <f>_xll.GetCtData("PKAMOUNT","AMOUNT",$A$1:$A$3,$A128:$B128,L$3:L$5,"#")</f>
        <v>0</v>
      </c>
      <c r="M128" s="66">
        <f>_xll.GetCtData("PKAMOUNT","AMOUNT",$A$1:$A$3,$A128:$B128,M$3:M$5,"#")</f>
        <v>0</v>
      </c>
      <c r="N128" s="66" t="e">
        <f>IF(N$1&lt;=#REF!,_xll.GetCtData("PKAMOUNT","AMOUNT",$A$1:$A$3,$A128:$B128,N$3:N$5,"#")-SUM($M128:M128),0)</f>
        <v>#REF!</v>
      </c>
      <c r="O128" s="66" t="e">
        <f>IF(O$1&lt;=#REF!,_xll.GetCtData("PKAMOUNT","AMOUNT",$A$1:$A$3,$A128:$B128,O$3:O$5,"#")-SUM($M128:N128),0)</f>
        <v>#REF!</v>
      </c>
      <c r="P128" s="66" t="e">
        <f>IF(P$1&lt;=#REF!,_xll.GetCtData("PKAMOUNT","AMOUNT",$A$1:$A$3,$A128:$B128,P$3:P$5,"#")-SUM($M128:O128),0)</f>
        <v>#REF!</v>
      </c>
      <c r="Q128" s="66" t="e">
        <f>IF(Q$1&lt;=#REF!,_xll.GetCtData("PKAMOUNT","AMOUNT",$A$1:$A$3,$A128:$B128,Q$3:Q$5,"#")-SUM($M128:P128),0)</f>
        <v>#REF!</v>
      </c>
      <c r="R128" s="66" t="e">
        <f>IF(R$1&lt;=#REF!,_xll.GetCtData("PKAMOUNT","AMOUNT",$A$1:$A$3,$A128:$B128,R$3:R$5,"#")-SUM($M128:Q128),0)</f>
        <v>#REF!</v>
      </c>
      <c r="S128" s="66" t="e">
        <f>IF(S$1&lt;=#REF!,_xll.GetCtData("PKAMOUNT","AMOUNT",$A$1:$A$3,$A128:$B128,S$3:S$5,"#")-SUM($M128:R128),0)</f>
        <v>#REF!</v>
      </c>
      <c r="T128" s="66" t="e">
        <f>IF(T$1&lt;=#REF!,_xll.GetCtData("PKAMOUNT","AMOUNT",$A$1:$A$3,$A128:$B128,T$3:T$5,"#")-SUM($M128:S128),0)</f>
        <v>#REF!</v>
      </c>
      <c r="U128" s="66" t="e">
        <f>IF(U$1&lt;=#REF!,_xll.GetCtData("PKAMOUNT","AMOUNT",$A$1:$A$3,$A128:$B128,U$3:U$5,"#")-SUM($M128:T128),0)</f>
        <v>#REF!</v>
      </c>
      <c r="V128" s="66" t="e">
        <f>IF(V$1&lt;=#REF!,_xll.GetCtData("PKAMOUNT","AMOUNT",$A$1:$A$3,$A128:$B128,V$3:V$5,"#")-SUM($M128:U128),0)</f>
        <v>#REF!</v>
      </c>
      <c r="W128" s="66" t="e">
        <f>IF(W$1&lt;=#REF!,_xll.GetCtData("PKAMOUNT","AMOUNT",$A$1:$A$3,$A128:$B128,W$3:W$5,"#")-SUM($M128:V128),0)</f>
        <v>#REF!</v>
      </c>
      <c r="X128" s="66" t="e">
        <f>IF(X$1&lt;=#REF!,_xll.GetCtData("PKAMOUNT","AMOUNT",$A$1:$A$3,$A128:$B128,X$3:X$5,"#")-SUM($M128:W128),0)</f>
        <v>#REF!</v>
      </c>
      <c r="Y128" s="66">
        <f>_xll.GetCtData("PKAMOUNT","AMOUNT",$A$1:$A$3,$A128:$B128,Y$3:Y$5,"#")</f>
        <v>0</v>
      </c>
      <c r="Z128" s="34"/>
      <c r="AA128" s="66" t="e">
        <f>$K128*#REF!/12</f>
        <v>#REF!</v>
      </c>
      <c r="AB128" s="60" t="e">
        <f t="shared" si="89"/>
        <v>#REF!</v>
      </c>
      <c r="AC128" s="34"/>
      <c r="AD128" s="66" t="e">
        <f>$L128*#REF!/12</f>
        <v>#REF!</v>
      </c>
      <c r="AE128" s="60" t="e">
        <f t="shared" si="90"/>
        <v>#REF!</v>
      </c>
    </row>
    <row r="129" spans="1:31" ht="18" hidden="1" customHeight="1" outlineLevel="1" x14ac:dyDescent="0.2">
      <c r="A129" s="30" t="s">
        <v>152</v>
      </c>
      <c r="B129" s="30" t="s">
        <v>18</v>
      </c>
      <c r="C129" s="4" t="e">
        <f t="shared" si="92"/>
        <v>#REF!</v>
      </c>
      <c r="D129" s="4" t="e">
        <f t="shared" si="93"/>
        <v>#REF!</v>
      </c>
      <c r="F129" s="38" t="s">
        <v>153</v>
      </c>
      <c r="G129" s="34"/>
      <c r="H129" s="66">
        <f>_xll.GetCtData("PKAMOUNT","AMOUNT",$A$1:$A$3,$A129:$B129,H$3:H$5,"#")</f>
        <v>0</v>
      </c>
      <c r="I129" s="66">
        <f>_xll.GetCtData("PKAMOUNT","AMOUNT",$A$1:$A$3,$A129:$B129,I$3:I$5,"#")</f>
        <v>0</v>
      </c>
      <c r="J129" s="66">
        <f>_xll.GetCtData("PKAMOUNT","AMOUNT",$A$1:$A$3,$A129:$B129,J$3:J$5,"#")</f>
        <v>0</v>
      </c>
      <c r="K129" s="86">
        <f>_xll.GetCtData("PKAMOUNT","AMOUNT",$A$1:$A$3,$A129:$B129,K$3:K$5,"#")</f>
        <v>0</v>
      </c>
      <c r="L129" s="86">
        <f>_xll.GetCtData("PKAMOUNT","AMOUNT",$A$1:$A$3,$A129:$B129,L$3:L$5,"#")</f>
        <v>0</v>
      </c>
      <c r="M129" s="66">
        <f>_xll.GetCtData("PKAMOUNT","AMOUNT",$A$1:$A$3,$A129:$B129,M$3:M$5,"#")</f>
        <v>0</v>
      </c>
      <c r="N129" s="66" t="e">
        <f>IF(N$1&lt;=#REF!,_xll.GetCtData("PKAMOUNT","AMOUNT",$A$1:$A$3,$A129:$B129,N$3:N$5,"#")-SUM($M129:M129),0)</f>
        <v>#REF!</v>
      </c>
      <c r="O129" s="66" t="e">
        <f>IF(O$1&lt;=#REF!,_xll.GetCtData("PKAMOUNT","AMOUNT",$A$1:$A$3,$A129:$B129,O$3:O$5,"#")-SUM($M129:N129),0)</f>
        <v>#REF!</v>
      </c>
      <c r="P129" s="66" t="e">
        <f>IF(P$1&lt;=#REF!,_xll.GetCtData("PKAMOUNT","AMOUNT",$A$1:$A$3,$A129:$B129,P$3:P$5,"#")-SUM($M129:O129),0)</f>
        <v>#REF!</v>
      </c>
      <c r="Q129" s="66" t="e">
        <f>IF(Q$1&lt;=#REF!,_xll.GetCtData("PKAMOUNT","AMOUNT",$A$1:$A$3,$A129:$B129,Q$3:Q$5,"#")-SUM($M129:P129),0)</f>
        <v>#REF!</v>
      </c>
      <c r="R129" s="66" t="e">
        <f>IF(R$1&lt;=#REF!,_xll.GetCtData("PKAMOUNT","AMOUNT",$A$1:$A$3,$A129:$B129,R$3:R$5,"#")-SUM($M129:Q129),0)</f>
        <v>#REF!</v>
      </c>
      <c r="S129" s="66" t="e">
        <f>IF(S$1&lt;=#REF!,_xll.GetCtData("PKAMOUNT","AMOUNT",$A$1:$A$3,$A129:$B129,S$3:S$5,"#")-SUM($M129:R129),0)</f>
        <v>#REF!</v>
      </c>
      <c r="T129" s="66" t="e">
        <f>IF(T$1&lt;=#REF!,_xll.GetCtData("PKAMOUNT","AMOUNT",$A$1:$A$3,$A129:$B129,T$3:T$5,"#")-SUM($M129:S129),0)</f>
        <v>#REF!</v>
      </c>
      <c r="U129" s="66" t="e">
        <f>IF(U$1&lt;=#REF!,_xll.GetCtData("PKAMOUNT","AMOUNT",$A$1:$A$3,$A129:$B129,U$3:U$5,"#")-SUM($M129:T129),0)</f>
        <v>#REF!</v>
      </c>
      <c r="V129" s="66" t="e">
        <f>IF(V$1&lt;=#REF!,_xll.GetCtData("PKAMOUNT","AMOUNT",$A$1:$A$3,$A129:$B129,V$3:V$5,"#")-SUM($M129:U129),0)</f>
        <v>#REF!</v>
      </c>
      <c r="W129" s="66" t="e">
        <f>IF(W$1&lt;=#REF!,_xll.GetCtData("PKAMOUNT","AMOUNT",$A$1:$A$3,$A129:$B129,W$3:W$5,"#")-SUM($M129:V129),0)</f>
        <v>#REF!</v>
      </c>
      <c r="X129" s="66" t="e">
        <f>IF(X$1&lt;=#REF!,_xll.GetCtData("PKAMOUNT","AMOUNT",$A$1:$A$3,$A129:$B129,X$3:X$5,"#")-SUM($M129:W129),0)</f>
        <v>#REF!</v>
      </c>
      <c r="Y129" s="66">
        <f>_xll.GetCtData("PKAMOUNT","AMOUNT",$A$1:$A$3,$A129:$B129,Y$3:Y$5,"#")</f>
        <v>0</v>
      </c>
      <c r="Z129" s="34"/>
      <c r="AA129" s="66" t="e">
        <f>$K129*#REF!/12</f>
        <v>#REF!</v>
      </c>
      <c r="AB129" s="60" t="e">
        <f t="shared" si="89"/>
        <v>#REF!</v>
      </c>
      <c r="AC129" s="34"/>
      <c r="AD129" s="66" t="e">
        <f>$L129*#REF!/12</f>
        <v>#REF!</v>
      </c>
      <c r="AE129" s="60" t="e">
        <f t="shared" si="90"/>
        <v>#REF!</v>
      </c>
    </row>
    <row r="130" spans="1:31" ht="18" hidden="1" customHeight="1" outlineLevel="1" x14ac:dyDescent="0.2">
      <c r="A130" s="30" t="s">
        <v>269</v>
      </c>
      <c r="B130" s="30" t="s">
        <v>18</v>
      </c>
      <c r="C130" s="4" t="e">
        <f t="shared" si="92"/>
        <v>#REF!</v>
      </c>
      <c r="D130" s="4" t="e">
        <f t="shared" si="93"/>
        <v>#REF!</v>
      </c>
      <c r="F130" s="38" t="s">
        <v>271</v>
      </c>
      <c r="G130" s="34"/>
      <c r="H130" s="66">
        <f>_xll.GetCtData("PKAMOUNT","AMOUNT",$A$1:$A$3,$A130:$B130,H$3:H$5,"#")</f>
        <v>0</v>
      </c>
      <c r="I130" s="66">
        <f>_xll.GetCtData("PKAMOUNT","AMOUNT",$A$1:$A$3,$A130:$B130,I$3:I$5,"#")</f>
        <v>0</v>
      </c>
      <c r="J130" s="66">
        <f>_xll.GetCtData("PKAMOUNT","AMOUNT",$A$1:$A$3,$A130:$B130,J$3:J$5,"#")</f>
        <v>0</v>
      </c>
      <c r="K130" s="86">
        <f>_xll.GetCtData("PKAMOUNT","AMOUNT",$A$1:$A$3,$A130:$B130,K$3:K$5,"#")</f>
        <v>0</v>
      </c>
      <c r="L130" s="86">
        <f>_xll.GetCtData("PKAMOUNT","AMOUNT",$A$1:$A$3,$A130:$B130,L$3:L$5,"#")</f>
        <v>0</v>
      </c>
      <c r="M130" s="66">
        <f>_xll.GetCtData("PKAMOUNT","AMOUNT",$A$1:$A$3,$A130:$B130,M$3:M$5,"#")</f>
        <v>0</v>
      </c>
      <c r="N130" s="66" t="e">
        <f>IF(N$1&lt;=#REF!,_xll.GetCtData("PKAMOUNT","AMOUNT",$A$1:$A$3,$A130:$B130,N$3:N$5,"#")-SUM($M130:M130),0)</f>
        <v>#REF!</v>
      </c>
      <c r="O130" s="66" t="e">
        <f>IF(O$1&lt;=#REF!,_xll.GetCtData("PKAMOUNT","AMOUNT",$A$1:$A$3,$A130:$B130,O$3:O$5,"#")-SUM($M130:N130),0)</f>
        <v>#REF!</v>
      </c>
      <c r="P130" s="66" t="e">
        <f>IF(P$1&lt;=#REF!,_xll.GetCtData("PKAMOUNT","AMOUNT",$A$1:$A$3,$A130:$B130,P$3:P$5,"#")-SUM($M130:O130),0)</f>
        <v>#REF!</v>
      </c>
      <c r="Q130" s="66" t="e">
        <f>IF(Q$1&lt;=#REF!,_xll.GetCtData("PKAMOUNT","AMOUNT",$A$1:$A$3,$A130:$B130,Q$3:Q$5,"#")-SUM($M130:P130),0)</f>
        <v>#REF!</v>
      </c>
      <c r="R130" s="66" t="e">
        <f>IF(R$1&lt;=#REF!,_xll.GetCtData("PKAMOUNT","AMOUNT",$A$1:$A$3,$A130:$B130,R$3:R$5,"#")-SUM($M130:Q130),0)</f>
        <v>#REF!</v>
      </c>
      <c r="S130" s="66" t="e">
        <f>IF(S$1&lt;=#REF!,_xll.GetCtData("PKAMOUNT","AMOUNT",$A$1:$A$3,$A130:$B130,S$3:S$5,"#")-SUM($M130:R130),0)</f>
        <v>#REF!</v>
      </c>
      <c r="T130" s="66" t="e">
        <f>IF(T$1&lt;=#REF!,_xll.GetCtData("PKAMOUNT","AMOUNT",$A$1:$A$3,$A130:$B130,T$3:T$5,"#")-SUM($M130:S130),0)</f>
        <v>#REF!</v>
      </c>
      <c r="U130" s="66" t="e">
        <f>IF(U$1&lt;=#REF!,_xll.GetCtData("PKAMOUNT","AMOUNT",$A$1:$A$3,$A130:$B130,U$3:U$5,"#")-SUM($M130:T130),0)</f>
        <v>#REF!</v>
      </c>
      <c r="V130" s="66" t="e">
        <f>IF(V$1&lt;=#REF!,_xll.GetCtData("PKAMOUNT","AMOUNT",$A$1:$A$3,$A130:$B130,V$3:V$5,"#")-SUM($M130:U130),0)</f>
        <v>#REF!</v>
      </c>
      <c r="W130" s="66" t="e">
        <f>IF(W$1&lt;=#REF!,_xll.GetCtData("PKAMOUNT","AMOUNT",$A$1:$A$3,$A130:$B130,W$3:W$5,"#")-SUM($M130:V130),0)</f>
        <v>#REF!</v>
      </c>
      <c r="X130" s="66" t="e">
        <f>IF(X$1&lt;=#REF!,_xll.GetCtData("PKAMOUNT","AMOUNT",$A$1:$A$3,$A130:$B130,X$3:X$5,"#")-SUM($M130:W130),0)</f>
        <v>#REF!</v>
      </c>
      <c r="Y130" s="66">
        <f>_xll.GetCtData("PKAMOUNT","AMOUNT",$A$1:$A$3,$A130:$B130,Y$3:Y$5,"#")</f>
        <v>0</v>
      </c>
      <c r="Z130" s="34"/>
      <c r="AA130" s="66" t="e">
        <f>$K130*#REF!/12</f>
        <v>#REF!</v>
      </c>
      <c r="AB130" s="60" t="e">
        <f t="shared" si="89"/>
        <v>#REF!</v>
      </c>
      <c r="AC130" s="34"/>
      <c r="AD130" s="66" t="e">
        <f>$L130*#REF!/12</f>
        <v>#REF!</v>
      </c>
      <c r="AE130" s="60" t="e">
        <f t="shared" si="90"/>
        <v>#REF!</v>
      </c>
    </row>
    <row r="131" spans="1:31" ht="18" hidden="1" customHeight="1" outlineLevel="1" x14ac:dyDescent="0.2">
      <c r="A131" s="30" t="s">
        <v>270</v>
      </c>
      <c r="B131" s="30" t="s">
        <v>18</v>
      </c>
      <c r="C131" s="4" t="e">
        <f t="shared" si="92"/>
        <v>#REF!</v>
      </c>
      <c r="D131" s="4" t="e">
        <f t="shared" si="93"/>
        <v>#REF!</v>
      </c>
      <c r="F131" s="38" t="s">
        <v>272</v>
      </c>
      <c r="G131" s="34"/>
      <c r="H131" s="66">
        <f>_xll.GetCtData("PKAMOUNT","AMOUNT",$A$1:$A$3,$A131:$B131,H$3:H$5,"#")</f>
        <v>0</v>
      </c>
      <c r="I131" s="66">
        <f>_xll.GetCtData("PKAMOUNT","AMOUNT",$A$1:$A$3,$A131:$B131,I$3:I$5,"#")</f>
        <v>0</v>
      </c>
      <c r="J131" s="66">
        <f>_xll.GetCtData("PKAMOUNT","AMOUNT",$A$1:$A$3,$A131:$B131,J$3:J$5,"#")</f>
        <v>0</v>
      </c>
      <c r="K131" s="86">
        <f>_xll.GetCtData("PKAMOUNT","AMOUNT",$A$1:$A$3,$A131:$B131,K$3:K$5,"#")</f>
        <v>0</v>
      </c>
      <c r="L131" s="86">
        <f>_xll.GetCtData("PKAMOUNT","AMOUNT",$A$1:$A$3,$A131:$B131,L$3:L$5,"#")</f>
        <v>0</v>
      </c>
      <c r="M131" s="66">
        <f>_xll.GetCtData("PKAMOUNT","AMOUNT",$A$1:$A$3,$A131:$B131,M$3:M$5,"#")</f>
        <v>0</v>
      </c>
      <c r="N131" s="66" t="e">
        <f>IF(N$1&lt;=#REF!,_xll.GetCtData("PKAMOUNT","AMOUNT",$A$1:$A$3,$A131:$B131,N$3:N$5,"#")-SUM($M131:M131),0)</f>
        <v>#REF!</v>
      </c>
      <c r="O131" s="66" t="e">
        <f>IF(O$1&lt;=#REF!,_xll.GetCtData("PKAMOUNT","AMOUNT",$A$1:$A$3,$A131:$B131,O$3:O$5,"#")-SUM($M131:N131),0)</f>
        <v>#REF!</v>
      </c>
      <c r="P131" s="66" t="e">
        <f>IF(P$1&lt;=#REF!,_xll.GetCtData("PKAMOUNT","AMOUNT",$A$1:$A$3,$A131:$B131,P$3:P$5,"#")-SUM($M131:O131),0)</f>
        <v>#REF!</v>
      </c>
      <c r="Q131" s="66" t="e">
        <f>IF(Q$1&lt;=#REF!,_xll.GetCtData("PKAMOUNT","AMOUNT",$A$1:$A$3,$A131:$B131,Q$3:Q$5,"#")-SUM($M131:P131),0)</f>
        <v>#REF!</v>
      </c>
      <c r="R131" s="66" t="e">
        <f>IF(R$1&lt;=#REF!,_xll.GetCtData("PKAMOUNT","AMOUNT",$A$1:$A$3,$A131:$B131,R$3:R$5,"#")-SUM($M131:Q131),0)</f>
        <v>#REF!</v>
      </c>
      <c r="S131" s="66" t="e">
        <f>IF(S$1&lt;=#REF!,_xll.GetCtData("PKAMOUNT","AMOUNT",$A$1:$A$3,$A131:$B131,S$3:S$5,"#")-SUM($M131:R131),0)</f>
        <v>#REF!</v>
      </c>
      <c r="T131" s="66" t="e">
        <f>IF(T$1&lt;=#REF!,_xll.GetCtData("PKAMOUNT","AMOUNT",$A$1:$A$3,$A131:$B131,T$3:T$5,"#")-SUM($M131:S131),0)</f>
        <v>#REF!</v>
      </c>
      <c r="U131" s="66" t="e">
        <f>IF(U$1&lt;=#REF!,_xll.GetCtData("PKAMOUNT","AMOUNT",$A$1:$A$3,$A131:$B131,U$3:U$5,"#")-SUM($M131:T131),0)</f>
        <v>#REF!</v>
      </c>
      <c r="V131" s="66" t="e">
        <f>IF(V$1&lt;=#REF!,_xll.GetCtData("PKAMOUNT","AMOUNT",$A$1:$A$3,$A131:$B131,V$3:V$5,"#")-SUM($M131:U131),0)</f>
        <v>#REF!</v>
      </c>
      <c r="W131" s="66" t="e">
        <f>IF(W$1&lt;=#REF!,_xll.GetCtData("PKAMOUNT","AMOUNT",$A$1:$A$3,$A131:$B131,W$3:W$5,"#")-SUM($M131:V131),0)</f>
        <v>#REF!</v>
      </c>
      <c r="X131" s="66" t="e">
        <f>IF(X$1&lt;=#REF!,_xll.GetCtData("PKAMOUNT","AMOUNT",$A$1:$A$3,$A131:$B131,X$3:X$5,"#")-SUM($M131:W131),0)</f>
        <v>#REF!</v>
      </c>
      <c r="Y131" s="66">
        <f>_xll.GetCtData("PKAMOUNT","AMOUNT",$A$1:$A$3,$A131:$B131,Y$3:Y$5,"#")</f>
        <v>0</v>
      </c>
      <c r="Z131" s="34"/>
      <c r="AA131" s="66" t="e">
        <f>$K131*#REF!/12</f>
        <v>#REF!</v>
      </c>
      <c r="AB131" s="60" t="e">
        <f t="shared" si="89"/>
        <v>#REF!</v>
      </c>
      <c r="AC131" s="34"/>
      <c r="AD131" s="66" t="e">
        <f>$L131*#REF!/12</f>
        <v>#REF!</v>
      </c>
      <c r="AE131" s="60" t="e">
        <f t="shared" si="90"/>
        <v>#REF!</v>
      </c>
    </row>
    <row r="132" spans="1:31" ht="18" hidden="1" customHeight="1" outlineLevel="1" x14ac:dyDescent="0.2">
      <c r="A132" s="30" t="s">
        <v>162</v>
      </c>
      <c r="B132" s="30" t="s">
        <v>18</v>
      </c>
      <c r="C132" s="4" t="e">
        <f t="shared" si="92"/>
        <v>#REF!</v>
      </c>
      <c r="D132" s="4" t="e">
        <f t="shared" si="93"/>
        <v>#REF!</v>
      </c>
      <c r="F132" s="38" t="s">
        <v>163</v>
      </c>
      <c r="G132" s="34"/>
      <c r="H132" s="66">
        <f>_xll.GetCtData("PKAMOUNT","AMOUNT",$A$1:$A$3,$A132:$B132,H$3:H$5,"#")</f>
        <v>0</v>
      </c>
      <c r="I132" s="66">
        <f>_xll.GetCtData("PKAMOUNT","AMOUNT",$A$1:$A$3,$A132:$B132,I$3:I$5,"#")</f>
        <v>0</v>
      </c>
      <c r="J132" s="66">
        <f>_xll.GetCtData("PKAMOUNT","AMOUNT",$A$1:$A$3,$A132:$B132,J$3:J$5,"#")</f>
        <v>0</v>
      </c>
      <c r="K132" s="86">
        <f>_xll.GetCtData("PKAMOUNT","AMOUNT",$A$1:$A$3,$A132:$B132,K$3:K$5,"#")</f>
        <v>0</v>
      </c>
      <c r="L132" s="86">
        <f>_xll.GetCtData("PKAMOUNT","AMOUNT",$A$1:$A$3,$A132:$B132,L$3:L$5,"#")</f>
        <v>0</v>
      </c>
      <c r="M132" s="66">
        <f>_xll.GetCtData("PKAMOUNT","AMOUNT",$A$1:$A$3,$A132:$B132,M$3:M$5,"#")</f>
        <v>0</v>
      </c>
      <c r="N132" s="66" t="e">
        <f>IF(N$1&lt;=#REF!,_xll.GetCtData("PKAMOUNT","AMOUNT",$A$1:$A$3,$A132:$B132,N$3:N$5,"#")-SUM($M132:M132),0)</f>
        <v>#REF!</v>
      </c>
      <c r="O132" s="66" t="e">
        <f>IF(O$1&lt;=#REF!,_xll.GetCtData("PKAMOUNT","AMOUNT",$A$1:$A$3,$A132:$B132,O$3:O$5,"#")-SUM($M132:N132),0)</f>
        <v>#REF!</v>
      </c>
      <c r="P132" s="66" t="e">
        <f>IF(P$1&lt;=#REF!,_xll.GetCtData("PKAMOUNT","AMOUNT",$A$1:$A$3,$A132:$B132,P$3:P$5,"#")-SUM($M132:O132),0)</f>
        <v>#REF!</v>
      </c>
      <c r="Q132" s="66" t="e">
        <f>IF(Q$1&lt;=#REF!,_xll.GetCtData("PKAMOUNT","AMOUNT",$A$1:$A$3,$A132:$B132,Q$3:Q$5,"#")-SUM($M132:P132),0)</f>
        <v>#REF!</v>
      </c>
      <c r="R132" s="66" t="e">
        <f>IF(R$1&lt;=#REF!,_xll.GetCtData("PKAMOUNT","AMOUNT",$A$1:$A$3,$A132:$B132,R$3:R$5,"#")-SUM($M132:Q132),0)</f>
        <v>#REF!</v>
      </c>
      <c r="S132" s="66" t="e">
        <f>IF(S$1&lt;=#REF!,_xll.GetCtData("PKAMOUNT","AMOUNT",$A$1:$A$3,$A132:$B132,S$3:S$5,"#")-SUM($M132:R132),0)</f>
        <v>#REF!</v>
      </c>
      <c r="T132" s="66" t="e">
        <f>IF(T$1&lt;=#REF!,_xll.GetCtData("PKAMOUNT","AMOUNT",$A$1:$A$3,$A132:$B132,T$3:T$5,"#")-SUM($M132:S132),0)</f>
        <v>#REF!</v>
      </c>
      <c r="U132" s="66" t="e">
        <f>IF(U$1&lt;=#REF!,_xll.GetCtData("PKAMOUNT","AMOUNT",$A$1:$A$3,$A132:$B132,U$3:U$5,"#")-SUM($M132:T132),0)</f>
        <v>#REF!</v>
      </c>
      <c r="V132" s="66" t="e">
        <f>IF(V$1&lt;=#REF!,_xll.GetCtData("PKAMOUNT","AMOUNT",$A$1:$A$3,$A132:$B132,V$3:V$5,"#")-SUM($M132:U132),0)</f>
        <v>#REF!</v>
      </c>
      <c r="W132" s="66" t="e">
        <f>IF(W$1&lt;=#REF!,_xll.GetCtData("PKAMOUNT","AMOUNT",$A$1:$A$3,$A132:$B132,W$3:W$5,"#")-SUM($M132:V132),0)</f>
        <v>#REF!</v>
      </c>
      <c r="X132" s="66" t="e">
        <f>IF(X$1&lt;=#REF!,_xll.GetCtData("PKAMOUNT","AMOUNT",$A$1:$A$3,$A132:$B132,X$3:X$5,"#")-SUM($M132:W132),0)</f>
        <v>#REF!</v>
      </c>
      <c r="Y132" s="66">
        <f>_xll.GetCtData("PKAMOUNT","AMOUNT",$A$1:$A$3,$A132:$B132,Y$3:Y$5,"#")</f>
        <v>0</v>
      </c>
      <c r="Z132" s="34"/>
      <c r="AA132" s="66" t="e">
        <f>$K132*#REF!/12</f>
        <v>#REF!</v>
      </c>
      <c r="AB132" s="60" t="e">
        <f t="shared" si="89"/>
        <v>#REF!</v>
      </c>
      <c r="AC132" s="34"/>
      <c r="AD132" s="66" t="e">
        <f>$L132*#REF!/12</f>
        <v>#REF!</v>
      </c>
      <c r="AE132" s="60" t="e">
        <f t="shared" si="90"/>
        <v>#REF!</v>
      </c>
    </row>
    <row r="133" spans="1:31" ht="18" hidden="1" customHeight="1" outlineLevel="1" x14ac:dyDescent="0.2">
      <c r="A133" s="30" t="s">
        <v>164</v>
      </c>
      <c r="B133" s="30" t="s">
        <v>18</v>
      </c>
      <c r="C133" s="4" t="e">
        <f t="shared" si="92"/>
        <v>#REF!</v>
      </c>
      <c r="D133" s="4" t="e">
        <f t="shared" si="93"/>
        <v>#REF!</v>
      </c>
      <c r="F133" s="38" t="s">
        <v>165</v>
      </c>
      <c r="G133" s="34"/>
      <c r="H133" s="66">
        <f>_xll.GetCtData("PKAMOUNT","AMOUNT",$A$1:$A$3,$A133:$B133,H$3:H$5,"#")</f>
        <v>0</v>
      </c>
      <c r="I133" s="66">
        <f>_xll.GetCtData("PKAMOUNT","AMOUNT",$A$1:$A$3,$A133:$B133,I$3:I$5,"#")</f>
        <v>0</v>
      </c>
      <c r="J133" s="66">
        <f>_xll.GetCtData("PKAMOUNT","AMOUNT",$A$1:$A$3,$A133:$B133,J$3:J$5,"#")</f>
        <v>0</v>
      </c>
      <c r="K133" s="86">
        <f>_xll.GetCtData("PKAMOUNT","AMOUNT",$A$1:$A$3,$A133:$B133,K$3:K$5,"#")</f>
        <v>0</v>
      </c>
      <c r="L133" s="86">
        <f>_xll.GetCtData("PKAMOUNT","AMOUNT",$A$1:$A$3,$A133:$B133,L$3:L$5,"#")</f>
        <v>0</v>
      </c>
      <c r="M133" s="66">
        <f>_xll.GetCtData("PKAMOUNT","AMOUNT",$A$1:$A$3,$A133:$B133,M$3:M$5,"#")</f>
        <v>0</v>
      </c>
      <c r="N133" s="66" t="e">
        <f>IF(N$1&lt;=#REF!,_xll.GetCtData("PKAMOUNT","AMOUNT",$A$1:$A$3,$A133:$B133,N$3:N$5,"#")-SUM($M133:M133),0)</f>
        <v>#REF!</v>
      </c>
      <c r="O133" s="66" t="e">
        <f>IF(O$1&lt;=#REF!,_xll.GetCtData("PKAMOUNT","AMOUNT",$A$1:$A$3,$A133:$B133,O$3:O$5,"#")-SUM($M133:N133),0)</f>
        <v>#REF!</v>
      </c>
      <c r="P133" s="66" t="e">
        <f>IF(P$1&lt;=#REF!,_xll.GetCtData("PKAMOUNT","AMOUNT",$A$1:$A$3,$A133:$B133,P$3:P$5,"#")-SUM($M133:O133),0)</f>
        <v>#REF!</v>
      </c>
      <c r="Q133" s="66" t="e">
        <f>IF(Q$1&lt;=#REF!,_xll.GetCtData("PKAMOUNT","AMOUNT",$A$1:$A$3,$A133:$B133,Q$3:Q$5,"#")-SUM($M133:P133),0)</f>
        <v>#REF!</v>
      </c>
      <c r="R133" s="66" t="e">
        <f>IF(R$1&lt;=#REF!,_xll.GetCtData("PKAMOUNT","AMOUNT",$A$1:$A$3,$A133:$B133,R$3:R$5,"#")-SUM($M133:Q133),0)</f>
        <v>#REF!</v>
      </c>
      <c r="S133" s="66" t="e">
        <f>IF(S$1&lt;=#REF!,_xll.GetCtData("PKAMOUNT","AMOUNT",$A$1:$A$3,$A133:$B133,S$3:S$5,"#")-SUM($M133:R133),0)</f>
        <v>#REF!</v>
      </c>
      <c r="T133" s="66" t="e">
        <f>IF(T$1&lt;=#REF!,_xll.GetCtData("PKAMOUNT","AMOUNT",$A$1:$A$3,$A133:$B133,T$3:T$5,"#")-SUM($M133:S133),0)</f>
        <v>#REF!</v>
      </c>
      <c r="U133" s="66" t="e">
        <f>IF(U$1&lt;=#REF!,_xll.GetCtData("PKAMOUNT","AMOUNT",$A$1:$A$3,$A133:$B133,U$3:U$5,"#")-SUM($M133:T133),0)</f>
        <v>#REF!</v>
      </c>
      <c r="V133" s="66" t="e">
        <f>IF(V$1&lt;=#REF!,_xll.GetCtData("PKAMOUNT","AMOUNT",$A$1:$A$3,$A133:$B133,V$3:V$5,"#")-SUM($M133:U133),0)</f>
        <v>#REF!</v>
      </c>
      <c r="W133" s="66" t="e">
        <f>IF(W$1&lt;=#REF!,_xll.GetCtData("PKAMOUNT","AMOUNT",$A$1:$A$3,$A133:$B133,W$3:W$5,"#")-SUM($M133:V133),0)</f>
        <v>#REF!</v>
      </c>
      <c r="X133" s="66" t="e">
        <f>IF(X$1&lt;=#REF!,_xll.GetCtData("PKAMOUNT","AMOUNT",$A$1:$A$3,$A133:$B133,X$3:X$5,"#")-SUM($M133:W133),0)</f>
        <v>#REF!</v>
      </c>
      <c r="Y133" s="66">
        <f>_xll.GetCtData("PKAMOUNT","AMOUNT",$A$1:$A$3,$A133:$B133,Y$3:Y$5,"#")</f>
        <v>0</v>
      </c>
      <c r="Z133" s="34"/>
      <c r="AA133" s="66" t="e">
        <f>$K133*#REF!/12</f>
        <v>#REF!</v>
      </c>
      <c r="AB133" s="60" t="e">
        <f t="shared" si="89"/>
        <v>#REF!</v>
      </c>
      <c r="AC133" s="34"/>
      <c r="AD133" s="66" t="e">
        <f>$L133*#REF!/12</f>
        <v>#REF!</v>
      </c>
      <c r="AE133" s="60" t="e">
        <f t="shared" si="90"/>
        <v>#REF!</v>
      </c>
    </row>
    <row r="134" spans="1:31" ht="18" hidden="1" customHeight="1" outlineLevel="1" x14ac:dyDescent="0.2">
      <c r="A134" s="30" t="s">
        <v>166</v>
      </c>
      <c r="B134" s="30" t="s">
        <v>18</v>
      </c>
      <c r="C134" s="4" t="e">
        <f t="shared" si="92"/>
        <v>#REF!</v>
      </c>
      <c r="D134" s="4" t="e">
        <f t="shared" si="93"/>
        <v>#REF!</v>
      </c>
      <c r="F134" s="38" t="s">
        <v>167</v>
      </c>
      <c r="G134" s="34"/>
      <c r="H134" s="66">
        <f>_xll.GetCtData("PKAMOUNT","AMOUNT",$A$1:$A$3,$A134:$B134,H$3:H$5,"#")</f>
        <v>0</v>
      </c>
      <c r="I134" s="66">
        <f>_xll.GetCtData("PKAMOUNT","AMOUNT",$A$1:$A$3,$A134:$B134,I$3:I$5,"#")</f>
        <v>0</v>
      </c>
      <c r="J134" s="66">
        <f>_xll.GetCtData("PKAMOUNT","AMOUNT",$A$1:$A$3,$A134:$B134,J$3:J$5,"#")</f>
        <v>0</v>
      </c>
      <c r="K134" s="86">
        <f>_xll.GetCtData("PKAMOUNT","AMOUNT",$A$1:$A$3,$A134:$B134,K$3:K$5,"#")</f>
        <v>0</v>
      </c>
      <c r="L134" s="86">
        <f>_xll.GetCtData("PKAMOUNT","AMOUNT",$A$1:$A$3,$A134:$B134,L$3:L$5,"#")</f>
        <v>0</v>
      </c>
      <c r="M134" s="66">
        <f>_xll.GetCtData("PKAMOUNT","AMOUNT",$A$1:$A$3,$A134:$B134,M$3:M$5,"#")</f>
        <v>0</v>
      </c>
      <c r="N134" s="66" t="e">
        <f>IF(N$1&lt;=#REF!,_xll.GetCtData("PKAMOUNT","AMOUNT",$A$1:$A$3,$A134:$B134,N$3:N$5,"#")-SUM($M134:M134),0)</f>
        <v>#REF!</v>
      </c>
      <c r="O134" s="66" t="e">
        <f>IF(O$1&lt;=#REF!,_xll.GetCtData("PKAMOUNT","AMOUNT",$A$1:$A$3,$A134:$B134,O$3:O$5,"#")-SUM($M134:N134),0)</f>
        <v>#REF!</v>
      </c>
      <c r="P134" s="66" t="e">
        <f>IF(P$1&lt;=#REF!,_xll.GetCtData("PKAMOUNT","AMOUNT",$A$1:$A$3,$A134:$B134,P$3:P$5,"#")-SUM($M134:O134),0)</f>
        <v>#REF!</v>
      </c>
      <c r="Q134" s="66" t="e">
        <f>IF(Q$1&lt;=#REF!,_xll.GetCtData("PKAMOUNT","AMOUNT",$A$1:$A$3,$A134:$B134,Q$3:Q$5,"#")-SUM($M134:P134),0)</f>
        <v>#REF!</v>
      </c>
      <c r="R134" s="66" t="e">
        <f>IF(R$1&lt;=#REF!,_xll.GetCtData("PKAMOUNT","AMOUNT",$A$1:$A$3,$A134:$B134,R$3:R$5,"#")-SUM($M134:Q134),0)</f>
        <v>#REF!</v>
      </c>
      <c r="S134" s="66" t="e">
        <f>IF(S$1&lt;=#REF!,_xll.GetCtData("PKAMOUNT","AMOUNT",$A$1:$A$3,$A134:$B134,S$3:S$5,"#")-SUM($M134:R134),0)</f>
        <v>#REF!</v>
      </c>
      <c r="T134" s="66" t="e">
        <f>IF(T$1&lt;=#REF!,_xll.GetCtData("PKAMOUNT","AMOUNT",$A$1:$A$3,$A134:$B134,T$3:T$5,"#")-SUM($M134:S134),0)</f>
        <v>#REF!</v>
      </c>
      <c r="U134" s="66" t="e">
        <f>IF(U$1&lt;=#REF!,_xll.GetCtData("PKAMOUNT","AMOUNT",$A$1:$A$3,$A134:$B134,U$3:U$5,"#")-SUM($M134:T134),0)</f>
        <v>#REF!</v>
      </c>
      <c r="V134" s="66" t="e">
        <f>IF(V$1&lt;=#REF!,_xll.GetCtData("PKAMOUNT","AMOUNT",$A$1:$A$3,$A134:$B134,V$3:V$5,"#")-SUM($M134:U134),0)</f>
        <v>#REF!</v>
      </c>
      <c r="W134" s="66" t="e">
        <f>IF(W$1&lt;=#REF!,_xll.GetCtData("PKAMOUNT","AMOUNT",$A$1:$A$3,$A134:$B134,W$3:W$5,"#")-SUM($M134:V134),0)</f>
        <v>#REF!</v>
      </c>
      <c r="X134" s="66" t="e">
        <f>IF(X$1&lt;=#REF!,_xll.GetCtData("PKAMOUNT","AMOUNT",$A$1:$A$3,$A134:$B134,X$3:X$5,"#")-SUM($M134:W134),0)</f>
        <v>#REF!</v>
      </c>
      <c r="Y134" s="66">
        <f>_xll.GetCtData("PKAMOUNT","AMOUNT",$A$1:$A$3,$A134:$B134,Y$3:Y$5,"#")</f>
        <v>0</v>
      </c>
      <c r="Z134" s="34"/>
      <c r="AA134" s="66" t="e">
        <f>$K134*#REF!/12</f>
        <v>#REF!</v>
      </c>
      <c r="AB134" s="60" t="e">
        <f t="shared" si="89"/>
        <v>#REF!</v>
      </c>
      <c r="AC134" s="34"/>
      <c r="AD134" s="66" t="e">
        <f>$L134*#REF!/12</f>
        <v>#REF!</v>
      </c>
      <c r="AE134" s="60" t="e">
        <f t="shared" si="90"/>
        <v>#REF!</v>
      </c>
    </row>
    <row r="135" spans="1:31" ht="18" customHeight="1" collapsed="1" x14ac:dyDescent="0.2">
      <c r="A135" s="30" t="s">
        <v>408</v>
      </c>
      <c r="B135" s="30" t="s">
        <v>18</v>
      </c>
      <c r="C135" s="4"/>
      <c r="D135" s="4"/>
      <c r="F135" s="106" t="s">
        <v>409</v>
      </c>
      <c r="G135" s="34"/>
      <c r="H135" s="61">
        <f>_xll.GetCtData("PKAMOUNT","AMOUNT",$A$1:$A$3,$A135:$B135,H$3:H$5,"#")</f>
        <v>0</v>
      </c>
      <c r="I135" s="61">
        <f>_xll.GetCtData("PKAMOUNT","AMOUNT",$A$1:$A$3,$A135:$B135,I$3:I$5,"#")</f>
        <v>0</v>
      </c>
      <c r="J135" s="61">
        <f>_xll.GetCtData("PKAMOUNT","AMOUNT",$A$1:$A$3,$A135:$B135,J$3:J$5,"#")</f>
        <v>0</v>
      </c>
      <c r="K135" s="86">
        <f>_xll.GetCtData("PKAMOUNT","AMOUNT",$A$1:$A$3,$A135:$B135,K$3:K$5,"#")</f>
        <v>0</v>
      </c>
      <c r="L135" s="86">
        <f>_xll.GetCtData("PKAMOUNT","AMOUNT",$A$1:$A$3,$A135:$B135,L$3:L$5,"#")</f>
        <v>0</v>
      </c>
      <c r="M135" s="61">
        <f>_xll.GetCtData("PKAMOUNT","AMOUNT",$A$1:$A$3,$A135:$B135,M$3:M$5,"#")</f>
        <v>0</v>
      </c>
      <c r="N135" s="197" t="e">
        <f>IF(N$1&lt;=#REF!,_xll.GetCtData("PKAMOUNT","AMOUNT",$A$1:$A$3,$A135:$B135,N$3:N$5,"#")-SUM($M135:M135),0)</f>
        <v>#REF!</v>
      </c>
      <c r="O135" s="61" t="e">
        <f>IF(O$1&lt;=#REF!,_xll.GetCtData("PKAMOUNT","AMOUNT",$A$1:$A$3,$A135:$B135,O$3:O$5,"#")-SUM($M135:N135),0)</f>
        <v>#REF!</v>
      </c>
      <c r="P135" s="61" t="e">
        <f>IF(P$1&lt;=#REF!,_xll.GetCtData("PKAMOUNT","AMOUNT",$A$1:$A$3,$A135:$B135,P$3:P$5,"#")-SUM($M135:O135),0)</f>
        <v>#REF!</v>
      </c>
      <c r="Q135" s="61" t="e">
        <f>IF(Q$1&lt;=#REF!,_xll.GetCtData("PKAMOUNT","AMOUNT",$A$1:$A$3,$A135:$B135,Q$3:Q$5,"#")-SUM($M135:P135),0)</f>
        <v>#REF!</v>
      </c>
      <c r="R135" s="61" t="e">
        <f>IF(R$1&lt;=#REF!,_xll.GetCtData("PKAMOUNT","AMOUNT",$A$1:$A$3,$A135:$B135,R$3:R$5,"#")-SUM($M135:Q135),0)</f>
        <v>#REF!</v>
      </c>
      <c r="S135" s="61" t="e">
        <f>IF(S$1&lt;=#REF!,_xll.GetCtData("PKAMOUNT","AMOUNT",$A$1:$A$3,$A135:$B135,S$3:S$5,"#")-SUM($M135:R135),0)</f>
        <v>#REF!</v>
      </c>
      <c r="T135" s="61" t="e">
        <f>IF(T$1&lt;=#REF!,_xll.GetCtData("PKAMOUNT","AMOUNT",$A$1:$A$3,$A135:$B135,T$3:T$5,"#")-SUM($M135:S135),0)</f>
        <v>#REF!</v>
      </c>
      <c r="U135" s="61" t="e">
        <f>IF(U$1&lt;=#REF!,_xll.GetCtData("PKAMOUNT","AMOUNT",$A$1:$A$3,$A135:$B135,U$3:U$5,"#")-SUM($M135:T135),0)</f>
        <v>#REF!</v>
      </c>
      <c r="V135" s="61" t="e">
        <f>IF(V$1&lt;=#REF!,_xll.GetCtData("PKAMOUNT","AMOUNT",$A$1:$A$3,$A135:$B135,V$3:V$5,"#")-SUM($M135:U135),0)</f>
        <v>#REF!</v>
      </c>
      <c r="W135" s="61" t="e">
        <f>IF(W$1&lt;=#REF!,_xll.GetCtData("PKAMOUNT","AMOUNT",$A$1:$A$3,$A135:$B135,W$3:W$5,"#")-SUM($M135:V135),0)</f>
        <v>#REF!</v>
      </c>
      <c r="X135" s="61" t="e">
        <f>IF(X$1&lt;=#REF!,_xll.GetCtData("PKAMOUNT","AMOUNT",$A$1:$A$3,$A135:$B135,X$3:X$5,"#")-SUM($M135:W135),0)</f>
        <v>#REF!</v>
      </c>
      <c r="Y135" s="61">
        <f>_xll.GetCtData("PKAMOUNT","AMOUNT",$A$1:$A$3,$A135:$B135,Y$3:Y$5,"#")</f>
        <v>0</v>
      </c>
      <c r="AA135" s="61">
        <f>$K135*[1]Paramètre!$H$6/12</f>
        <v>0</v>
      </c>
      <c r="AB135" s="60">
        <f t="shared" si="89"/>
        <v>0</v>
      </c>
      <c r="AD135" s="61">
        <f>$L135*[1]Paramètre!$H$6/12</f>
        <v>0</v>
      </c>
      <c r="AE135" s="60">
        <f t="shared" si="90"/>
        <v>0</v>
      </c>
    </row>
    <row r="136" spans="1:31" ht="18" customHeight="1" x14ac:dyDescent="0.2">
      <c r="A136" s="35"/>
      <c r="B136" s="35"/>
      <c r="C136" s="4" t="e">
        <f t="shared" si="92"/>
        <v>#REF!</v>
      </c>
      <c r="D136" s="4" t="e">
        <f t="shared" si="93"/>
        <v>#REF!</v>
      </c>
      <c r="F136" s="106" t="s">
        <v>189</v>
      </c>
      <c r="H136" s="61">
        <f>H128+H129+H130+H131+H132+H133+H134</f>
        <v>0</v>
      </c>
      <c r="I136" s="61">
        <f t="shared" ref="I136:Y136" si="98">I128+I129+I130+I131+I132+I133+I134</f>
        <v>0</v>
      </c>
      <c r="J136" s="61">
        <f t="shared" si="98"/>
        <v>0</v>
      </c>
      <c r="K136" s="86">
        <f t="shared" si="98"/>
        <v>0</v>
      </c>
      <c r="L136" s="86">
        <f t="shared" si="98"/>
        <v>0</v>
      </c>
      <c r="M136" s="61">
        <f t="shared" si="98"/>
        <v>0</v>
      </c>
      <c r="N136" s="61" t="e">
        <f t="shared" si="98"/>
        <v>#REF!</v>
      </c>
      <c r="O136" s="61" t="e">
        <f t="shared" si="98"/>
        <v>#REF!</v>
      </c>
      <c r="P136" s="61" t="e">
        <f t="shared" si="98"/>
        <v>#REF!</v>
      </c>
      <c r="Q136" s="61" t="e">
        <f t="shared" si="98"/>
        <v>#REF!</v>
      </c>
      <c r="R136" s="61" t="e">
        <f t="shared" si="98"/>
        <v>#REF!</v>
      </c>
      <c r="S136" s="61" t="e">
        <f t="shared" ref="S136:T136" si="99">S128+S129+S130+S131+S132+S133+S134</f>
        <v>#REF!</v>
      </c>
      <c r="T136" s="61" t="e">
        <f t="shared" si="99"/>
        <v>#REF!</v>
      </c>
      <c r="U136" s="61" t="e">
        <f t="shared" si="98"/>
        <v>#REF!</v>
      </c>
      <c r="V136" s="61" t="e">
        <f t="shared" si="98"/>
        <v>#REF!</v>
      </c>
      <c r="W136" s="61" t="e">
        <f t="shared" si="98"/>
        <v>#REF!</v>
      </c>
      <c r="X136" s="61" t="e">
        <f t="shared" si="98"/>
        <v>#REF!</v>
      </c>
      <c r="Y136" s="61">
        <f t="shared" si="98"/>
        <v>0</v>
      </c>
      <c r="AA136" s="61" t="e">
        <f>$K136*#REF!/12</f>
        <v>#REF!</v>
      </c>
      <c r="AB136" s="60" t="e">
        <f t="shared" si="89"/>
        <v>#REF!</v>
      </c>
      <c r="AD136" s="61" t="e">
        <f>$L136*#REF!/12</f>
        <v>#REF!</v>
      </c>
      <c r="AE136" s="60" t="e">
        <f t="shared" si="90"/>
        <v>#REF!</v>
      </c>
    </row>
    <row r="137" spans="1:31" ht="18" customHeight="1" x14ac:dyDescent="0.2">
      <c r="A137" s="35"/>
      <c r="B137" s="35"/>
      <c r="C137" s="4" t="e">
        <f t="shared" si="92"/>
        <v>#REF!</v>
      </c>
      <c r="D137" s="4" t="e">
        <f t="shared" si="93"/>
        <v>#REF!</v>
      </c>
      <c r="F137" s="95" t="s">
        <v>65</v>
      </c>
      <c r="H137" s="195">
        <f>H116+H117+H118+H122+H123+H127+H136+H135</f>
        <v>0</v>
      </c>
      <c r="I137" s="195">
        <f>I116+I117+I118+I122+I123+I127+I136+I135</f>
        <v>0</v>
      </c>
      <c r="J137" s="64">
        <f>J116+J117+J118+J122+J123+J127+J136+J135</f>
        <v>0</v>
      </c>
      <c r="K137" s="89">
        <f t="shared" ref="K137:L137" si="100">K116+K117+K118+K122+K123+K127+K136</f>
        <v>0</v>
      </c>
      <c r="L137" s="89">
        <f t="shared" si="100"/>
        <v>0</v>
      </c>
      <c r="M137" s="64">
        <f t="shared" ref="M137:Y137" si="101">M116+M117+M118+M122+M123+M127+M136+M135</f>
        <v>0</v>
      </c>
      <c r="N137" s="64" t="e">
        <f t="shared" si="101"/>
        <v>#REF!</v>
      </c>
      <c r="O137" s="64" t="e">
        <f t="shared" si="101"/>
        <v>#REF!</v>
      </c>
      <c r="P137" s="64" t="e">
        <f t="shared" si="101"/>
        <v>#REF!</v>
      </c>
      <c r="Q137" s="64" t="e">
        <f t="shared" si="101"/>
        <v>#REF!</v>
      </c>
      <c r="R137" s="64" t="e">
        <f t="shared" si="101"/>
        <v>#REF!</v>
      </c>
      <c r="S137" s="64" t="e">
        <f t="shared" ref="S137:T137" si="102">S116+S117+S118+S122+S123+S127+S136+S135</f>
        <v>#REF!</v>
      </c>
      <c r="T137" s="64" t="e">
        <f t="shared" si="102"/>
        <v>#REF!</v>
      </c>
      <c r="U137" s="64" t="e">
        <f t="shared" si="101"/>
        <v>#REF!</v>
      </c>
      <c r="V137" s="64" t="e">
        <f t="shared" si="101"/>
        <v>#REF!</v>
      </c>
      <c r="W137" s="64" t="e">
        <f t="shared" si="101"/>
        <v>#REF!</v>
      </c>
      <c r="X137" s="64" t="e">
        <f t="shared" si="101"/>
        <v>#REF!</v>
      </c>
      <c r="Y137" s="64">
        <f t="shared" si="101"/>
        <v>0</v>
      </c>
      <c r="AA137" s="64" t="e">
        <f>$K137*#REF!/12</f>
        <v>#REF!</v>
      </c>
      <c r="AB137" s="60" t="e">
        <f t="shared" si="89"/>
        <v>#REF!</v>
      </c>
      <c r="AD137" s="64" t="e">
        <f>$L137*#REF!/12</f>
        <v>#REF!</v>
      </c>
      <c r="AE137" s="60" t="e">
        <f t="shared" si="90"/>
        <v>#REF!</v>
      </c>
    </row>
    <row r="138" spans="1:31" ht="12.95" customHeight="1" x14ac:dyDescent="0.2">
      <c r="A138" s="35"/>
      <c r="B138" s="35"/>
      <c r="C138" s="4"/>
      <c r="D138" s="4"/>
      <c r="F138" s="39" t="s">
        <v>223</v>
      </c>
      <c r="H138" s="56">
        <f>-H137/(H$58)</f>
        <v>0</v>
      </c>
      <c r="I138" s="56">
        <f t="shared" ref="I138:L138" si="103">-I137/(I$58)</f>
        <v>0</v>
      </c>
      <c r="J138" s="56">
        <f t="shared" si="103"/>
        <v>0</v>
      </c>
      <c r="K138" s="109" t="e">
        <f t="shared" si="103"/>
        <v>#DIV/0!</v>
      </c>
      <c r="L138" s="109" t="e">
        <f t="shared" si="103"/>
        <v>#DIV/0!</v>
      </c>
      <c r="M138" s="56" t="e">
        <f>-M137/(M$58)</f>
        <v>#DIV/0!</v>
      </c>
      <c r="N138" s="56" t="e">
        <f>IF(N$1&lt;=#REF!,-N137/(N$58),"")</f>
        <v>#REF!</v>
      </c>
      <c r="O138" s="56" t="e">
        <f>IF(O$1&lt;=#REF!,-O137/(O$58),"")</f>
        <v>#REF!</v>
      </c>
      <c r="P138" s="56" t="e">
        <f>IF(P$1&lt;=#REF!,-P137/(P$58),"")</f>
        <v>#REF!</v>
      </c>
      <c r="Q138" s="56" t="e">
        <f>IF(Q$1&lt;=#REF!,-Q137/(Q$58),"")</f>
        <v>#REF!</v>
      </c>
      <c r="R138" s="56" t="e">
        <f>IF(R$1&lt;=#REF!,-R137/(R$58),"")</f>
        <v>#REF!</v>
      </c>
      <c r="S138" s="56" t="e">
        <f>IF(S$1&lt;=#REF!,-S137/(S$58),"")</f>
        <v>#REF!</v>
      </c>
      <c r="T138" s="56" t="e">
        <f>IF(T$1&lt;=#REF!,-T137/(T$58),"")</f>
        <v>#REF!</v>
      </c>
      <c r="U138" s="56" t="e">
        <f>IF(U$1&lt;=#REF!,-U137/(U$58),"")</f>
        <v>#REF!</v>
      </c>
      <c r="V138" s="56" t="e">
        <f>IF(V$1&lt;=#REF!,-V137/(V$58),"")</f>
        <v>#REF!</v>
      </c>
      <c r="W138" s="56" t="e">
        <f>IF(W$1&lt;=#REF!,-W137/(W$58),"")</f>
        <v>#REF!</v>
      </c>
      <c r="X138" s="56" t="e">
        <f>IF(X$1&lt;=#REF!,-X137/(X$58),"")</f>
        <v>#REF!</v>
      </c>
      <c r="Y138" s="56" t="e">
        <f>-Y137/(Y$58)</f>
        <v>#DIV/0!</v>
      </c>
      <c r="AA138" s="56" t="e">
        <f>-AA137/(AA$58)</f>
        <v>#REF!</v>
      </c>
      <c r="AB138" s="57"/>
      <c r="AD138" s="56" t="e">
        <f>-AD137/(AD$58)</f>
        <v>#REF!</v>
      </c>
      <c r="AE138" s="57"/>
    </row>
    <row r="139" spans="1:31" ht="6.95" customHeight="1" x14ac:dyDescent="0.2">
      <c r="C139" s="4"/>
      <c r="D139" s="4"/>
      <c r="F139" s="96"/>
      <c r="H139" s="16"/>
      <c r="I139" s="16"/>
      <c r="J139" s="16"/>
      <c r="K139" s="85"/>
      <c r="L139" s="85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AA139" s="16"/>
      <c r="AB139" s="20"/>
      <c r="AD139" s="16"/>
      <c r="AE139" s="20"/>
    </row>
    <row r="140" spans="1:31" ht="18" hidden="1" customHeight="1" outlineLevel="1" collapsed="1" x14ac:dyDescent="0.2">
      <c r="A140" s="35"/>
      <c r="B140" s="35"/>
      <c r="C140" s="4"/>
      <c r="D140" s="4"/>
      <c r="F140" s="97" t="s">
        <v>242</v>
      </c>
      <c r="H140" s="74">
        <f>-H141/50</f>
        <v>-2.4678800000000001</v>
      </c>
      <c r="I140" s="74" t="e">
        <f>-I141/50*12/#REF!</f>
        <v>#REF!</v>
      </c>
      <c r="J140" s="74">
        <f>-J141/50</f>
        <v>0</v>
      </c>
      <c r="K140" s="112">
        <f>-K141/50</f>
        <v>0</v>
      </c>
      <c r="L140" s="112">
        <f>-L141/50</f>
        <v>0</v>
      </c>
      <c r="M140" s="74">
        <f t="shared" ref="M140:X140" si="104">-M141/50*12</f>
        <v>0</v>
      </c>
      <c r="N140" s="74" t="e">
        <f t="shared" si="104"/>
        <v>#REF!</v>
      </c>
      <c r="O140" s="74" t="e">
        <f t="shared" si="104"/>
        <v>#REF!</v>
      </c>
      <c r="P140" s="74" t="e">
        <f t="shared" si="104"/>
        <v>#REF!</v>
      </c>
      <c r="Q140" s="74" t="e">
        <f t="shared" si="104"/>
        <v>#REF!</v>
      </c>
      <c r="R140" s="74" t="e">
        <f t="shared" si="104"/>
        <v>#REF!</v>
      </c>
      <c r="S140" s="74" t="e">
        <f t="shared" si="104"/>
        <v>#REF!</v>
      </c>
      <c r="T140" s="74" t="e">
        <f t="shared" si="104"/>
        <v>#REF!</v>
      </c>
      <c r="U140" s="74" t="e">
        <f t="shared" si="104"/>
        <v>#REF!</v>
      </c>
      <c r="V140" s="74" t="e">
        <f t="shared" si="104"/>
        <v>#REF!</v>
      </c>
      <c r="W140" s="74" t="e">
        <f t="shared" si="104"/>
        <v>#REF!</v>
      </c>
      <c r="X140" s="74" t="e">
        <f t="shared" si="104"/>
        <v>#REF!</v>
      </c>
      <c r="Y140" s="74" t="e">
        <f>(-Y141/50)*12/#REF!</f>
        <v>#REF!</v>
      </c>
      <c r="AA140" s="74">
        <f>$K140</f>
        <v>0</v>
      </c>
      <c r="AB140" s="73" t="e">
        <f t="shared" ref="AB140:AB152" si="105">ROUND($Y140-AA140,2)</f>
        <v>#REF!</v>
      </c>
      <c r="AD140" s="74">
        <f>$L140</f>
        <v>0</v>
      </c>
      <c r="AE140" s="73" t="e">
        <f t="shared" ref="AE140:AE152" si="106">ROUND($Y140-AD140,2)</f>
        <v>#REF!</v>
      </c>
    </row>
    <row r="141" spans="1:31" ht="18" customHeight="1" collapsed="1" x14ac:dyDescent="0.2">
      <c r="A141" s="30" t="s">
        <v>79</v>
      </c>
      <c r="B141" s="30" t="s">
        <v>18</v>
      </c>
      <c r="C141" s="4" t="e">
        <f t="shared" ref="C141:C152" si="107">IF(AND($Y141=0,AA141=0),0,IF(AA141=0,IF($Y141&gt;=0,AB141/$Y141,-AB141/$Y141),IF(AA141&gt;=0,AB141/AA141,-AB141/AA141)))</f>
        <v>#REF!</v>
      </c>
      <c r="D141" s="4" t="e">
        <f t="shared" ref="D141:D152" si="108">IF(AND($Y141=0,AD141=0),0,IF(AD141=0,IF($Y141&gt;=0,AE141/$Y141,-AE141/$Y141),IF(AD141&gt;=0,AE141/AD141,-AE141/AD141)))</f>
        <v>#REF!</v>
      </c>
      <c r="F141" s="106" t="s">
        <v>83</v>
      </c>
      <c r="H141" s="61">
        <f>_xll.GetCtData("PKAMOUNT","AMOUNT",$A$1:$A$3,$A141:$B141,H$3:H$5,"#123,394")</f>
        <v>123.39400000000001</v>
      </c>
      <c r="I141" s="61">
        <f>_xll.GetCtData("PKAMOUNT","AMOUNT",$A$1:$A$3,$A141:$B141,I$3:I$5,"#")</f>
        <v>0</v>
      </c>
      <c r="J141" s="61">
        <f>_xll.GetCtData("PKAMOUNT","AMOUNT",$A$1:$A$3,$A141:$B141,J$3:J$5,"#")</f>
        <v>0</v>
      </c>
      <c r="K141" s="86">
        <f>_xll.GetCtData("PKAMOUNT","AMOUNT",$A$1:$A$3,$A141:$B141,K$3:K$5,"#")</f>
        <v>0</v>
      </c>
      <c r="L141" s="86">
        <f>_xll.GetCtData("PKAMOUNT","AMOUNT",$A$1:$A$3,$A141:$B141,L$3:L$5,"#")</f>
        <v>0</v>
      </c>
      <c r="M141" s="61">
        <f>_xll.GetCtData("PKAMOUNT","AMOUNT",$A$1:$A$3,$A141:$B141,M$3:M$5,"#")</f>
        <v>0</v>
      </c>
      <c r="N141" s="61" t="e">
        <f>IF(N$1&lt;=#REF!,_xll.GetCtData("PKAMOUNT","AMOUNT",$A$1:$A$3,$A141:$B141,N$3:N$5,"#")-SUM($M141:M141),0)</f>
        <v>#REF!</v>
      </c>
      <c r="O141" s="61" t="e">
        <f>IF(O$1&lt;=#REF!,_xll.GetCtData("PKAMOUNT","AMOUNT",$A$1:$A$3,$A141:$B141,O$3:O$5,"#")-SUM($M141:N141),0)</f>
        <v>#REF!</v>
      </c>
      <c r="P141" s="61" t="e">
        <f>IF(P$1&lt;=#REF!,_xll.GetCtData("PKAMOUNT","AMOUNT",$A$1:$A$3,$A141:$B141,P$3:P$5,"#")-SUM($M141:O141),0)</f>
        <v>#REF!</v>
      </c>
      <c r="Q141" s="61" t="e">
        <f>IF(Q$1&lt;=#REF!,_xll.GetCtData("PKAMOUNT","AMOUNT",$A$1:$A$3,$A141:$B141,Q$3:Q$5,"#")-SUM($M141:P141),0)</f>
        <v>#REF!</v>
      </c>
      <c r="R141" s="61" t="e">
        <f>IF(R$1&lt;=#REF!,_xll.GetCtData("PKAMOUNT","AMOUNT",$A$1:$A$3,$A141:$B141,R$3:R$5,"#")-SUM($M141:Q141),0)</f>
        <v>#REF!</v>
      </c>
      <c r="S141" s="61" t="e">
        <f>IF(S$1&lt;=#REF!,_xll.GetCtData("PKAMOUNT","AMOUNT",$A$1:$A$3,$A141:$B141,S$3:S$5,"#")-SUM($M141:R141),0)</f>
        <v>#REF!</v>
      </c>
      <c r="T141" s="61" t="e">
        <f>IF(T$1&lt;=#REF!,_xll.GetCtData("PKAMOUNT","AMOUNT",$A$1:$A$3,$A141:$B141,T$3:T$5,"#")-SUM($M141:S141),0)</f>
        <v>#REF!</v>
      </c>
      <c r="U141" s="61" t="e">
        <f>IF(U$1&lt;=#REF!,_xll.GetCtData("PKAMOUNT","AMOUNT",$A$1:$A$3,$A141:$B141,U$3:U$5,"#")-SUM($M141:T141),0)</f>
        <v>#REF!</v>
      </c>
      <c r="V141" s="61" t="e">
        <f>IF(V$1&lt;=#REF!,_xll.GetCtData("PKAMOUNT","AMOUNT",$A$1:$A$3,$A141:$B141,V$3:V$5,"#")-SUM($M141:U141),0)</f>
        <v>#REF!</v>
      </c>
      <c r="W141" s="61" t="e">
        <f>IF(W$1&lt;=#REF!,_xll.GetCtData("PKAMOUNT","AMOUNT",$A$1:$A$3,$A141:$B141,W$3:W$5,"#")-SUM($M141:V141),0)</f>
        <v>#REF!</v>
      </c>
      <c r="X141" s="61" t="e">
        <f>IF(X$1&lt;=#REF!,_xll.GetCtData("PKAMOUNT","AMOUNT",$A$1:$A$3,$A141:$B141,X$3:X$5,"#")-SUM($M141:W141),0)</f>
        <v>#REF!</v>
      </c>
      <c r="Y141" s="61">
        <f>_xll.GetCtData("PKAMOUNT","AMOUNT",$A$1:$A$3,$A141:$B141,Y$3:Y$5,"#")</f>
        <v>0</v>
      </c>
      <c r="AA141" s="61" t="e">
        <f>$K141*#REF!/12</f>
        <v>#REF!</v>
      </c>
      <c r="AB141" s="60" t="e">
        <f t="shared" si="105"/>
        <v>#REF!</v>
      </c>
      <c r="AD141" s="61" t="e">
        <f>$L141*#REF!/12</f>
        <v>#REF!</v>
      </c>
      <c r="AE141" s="60" t="e">
        <f t="shared" si="106"/>
        <v>#REF!</v>
      </c>
    </row>
    <row r="142" spans="1:31" ht="18" customHeight="1" x14ac:dyDescent="0.2">
      <c r="A142" s="30" t="s">
        <v>80</v>
      </c>
      <c r="B142" s="30" t="s">
        <v>18</v>
      </c>
      <c r="C142" s="4" t="e">
        <f t="shared" si="107"/>
        <v>#REF!</v>
      </c>
      <c r="D142" s="4" t="e">
        <f t="shared" si="108"/>
        <v>#REF!</v>
      </c>
      <c r="F142" s="106" t="s">
        <v>84</v>
      </c>
      <c r="H142" s="61">
        <f>_xll.GetCtData("PKAMOUNT","AMOUNT",$A$1:$A$3,$A142:$B142,H$3:H$5,"#")</f>
        <v>0</v>
      </c>
      <c r="I142" s="61">
        <f>_xll.GetCtData("PKAMOUNT","AMOUNT",$A$1:$A$3,$A142:$B142,I$3:I$5,"#")</f>
        <v>0</v>
      </c>
      <c r="J142" s="61">
        <f>_xll.GetCtData("PKAMOUNT","AMOUNT",$A$1:$A$3,$A142:$B142,J$3:J$5,"#")</f>
        <v>0</v>
      </c>
      <c r="K142" s="86">
        <f>_xll.GetCtData("PKAMOUNT","AMOUNT",$A$1:$A$3,$A142:$B142,K$3:K$5,"#")</f>
        <v>0</v>
      </c>
      <c r="L142" s="86">
        <f>_xll.GetCtData("PKAMOUNT","AMOUNT",$A$1:$A$3,$A142:$B142,L$3:L$5,"#")</f>
        <v>0</v>
      </c>
      <c r="M142" s="61">
        <f>_xll.GetCtData("PKAMOUNT","AMOUNT",$A$1:$A$3,$A142:$B142,M$3:M$5,"#")</f>
        <v>0</v>
      </c>
      <c r="N142" s="61" t="e">
        <f>IF(N$1&lt;=#REF!,_xll.GetCtData("PKAMOUNT","AMOUNT",$A$1:$A$3,$A142:$B142,N$3:N$5,"#")-SUM($M142:M142),0)</f>
        <v>#REF!</v>
      </c>
      <c r="O142" s="61" t="e">
        <f>IF(O$1&lt;=#REF!,_xll.GetCtData("PKAMOUNT","AMOUNT",$A$1:$A$3,$A142:$B142,O$3:O$5,"#")-SUM($M142:N142),0)</f>
        <v>#REF!</v>
      </c>
      <c r="P142" s="61" t="e">
        <f>IF(P$1&lt;=#REF!,_xll.GetCtData("PKAMOUNT","AMOUNT",$A$1:$A$3,$A142:$B142,P$3:P$5,"#")-SUM($M142:O142),0)</f>
        <v>#REF!</v>
      </c>
      <c r="Q142" s="61" t="e">
        <f>IF(Q$1&lt;=#REF!,_xll.GetCtData("PKAMOUNT","AMOUNT",$A$1:$A$3,$A142:$B142,Q$3:Q$5,"#")-SUM($M142:P142),0)</f>
        <v>#REF!</v>
      </c>
      <c r="R142" s="61" t="e">
        <f>IF(R$1&lt;=#REF!,_xll.GetCtData("PKAMOUNT","AMOUNT",$A$1:$A$3,$A142:$B142,R$3:R$5,"#")-SUM($M142:Q142),0)</f>
        <v>#REF!</v>
      </c>
      <c r="S142" s="61" t="e">
        <f>IF(S$1&lt;=#REF!,_xll.GetCtData("PKAMOUNT","AMOUNT",$A$1:$A$3,$A142:$B142,S$3:S$5,"#")-SUM($M142:R142),0)</f>
        <v>#REF!</v>
      </c>
      <c r="T142" s="61" t="e">
        <f>IF(T$1&lt;=#REF!,_xll.GetCtData("PKAMOUNT","AMOUNT",$A$1:$A$3,$A142:$B142,T$3:T$5,"#")-SUM($M142:S142),0)</f>
        <v>#REF!</v>
      </c>
      <c r="U142" s="61" t="e">
        <f>IF(U$1&lt;=#REF!,_xll.GetCtData("PKAMOUNT","AMOUNT",$A$1:$A$3,$A142:$B142,U$3:U$5,"#")-SUM($M142:T142),0)</f>
        <v>#REF!</v>
      </c>
      <c r="V142" s="61" t="e">
        <f>IF(V$1&lt;=#REF!,_xll.GetCtData("PKAMOUNT","AMOUNT",$A$1:$A$3,$A142:$B142,V$3:V$5,"#")-SUM($M142:U142),0)</f>
        <v>#REF!</v>
      </c>
      <c r="W142" s="61" t="e">
        <f>IF(W$1&lt;=#REF!,_xll.GetCtData("PKAMOUNT","AMOUNT",$A$1:$A$3,$A142:$B142,W$3:W$5,"#")-SUM($M142:V142),0)</f>
        <v>#REF!</v>
      </c>
      <c r="X142" s="61" t="e">
        <f>IF(X$1&lt;=#REF!,_xll.GetCtData("PKAMOUNT","AMOUNT",$A$1:$A$3,$A142:$B142,X$3:X$5,"#")-SUM($M142:W142),0)</f>
        <v>#REF!</v>
      </c>
      <c r="Y142" s="61">
        <f>_xll.GetCtData("PKAMOUNT","AMOUNT",$A$1:$A$3,$A142:$B142,Y$3:Y$5,"#")</f>
        <v>0</v>
      </c>
      <c r="AA142" s="61" t="e">
        <f>$K142*#REF!/12</f>
        <v>#REF!</v>
      </c>
      <c r="AB142" s="60" t="e">
        <f t="shared" si="105"/>
        <v>#REF!</v>
      </c>
      <c r="AD142" s="61" t="e">
        <f>$L142*#REF!/12</f>
        <v>#REF!</v>
      </c>
      <c r="AE142" s="60" t="e">
        <f t="shared" si="106"/>
        <v>#REF!</v>
      </c>
    </row>
    <row r="143" spans="1:31" ht="18" customHeight="1" x14ac:dyDescent="0.2">
      <c r="A143" s="30" t="s">
        <v>81</v>
      </c>
      <c r="B143" s="30" t="s">
        <v>18</v>
      </c>
      <c r="C143" s="4" t="e">
        <f t="shared" si="107"/>
        <v>#REF!</v>
      </c>
      <c r="D143" s="4" t="e">
        <f t="shared" si="108"/>
        <v>#REF!</v>
      </c>
      <c r="F143" s="106" t="s">
        <v>85</v>
      </c>
      <c r="H143" s="61">
        <f>_xll.GetCtData("PKAMOUNT","AMOUNT",$A$1:$A$3,$A143:$B143,H$3:H$5,"#")</f>
        <v>0</v>
      </c>
      <c r="I143" s="61">
        <f>_xll.GetCtData("PKAMOUNT","AMOUNT",$A$1:$A$3,$A143:$B143,I$3:I$5,"#")</f>
        <v>0</v>
      </c>
      <c r="J143" s="61">
        <f>_xll.GetCtData("PKAMOUNT","AMOUNT",$A$1:$A$3,$A143:$B143,J$3:J$5,"#")</f>
        <v>0</v>
      </c>
      <c r="K143" s="86">
        <f>_xll.GetCtData("PKAMOUNT","AMOUNT",$A$1:$A$3,$A143:$B143,K$3:K$5,"#")</f>
        <v>0</v>
      </c>
      <c r="L143" s="86">
        <f>_xll.GetCtData("PKAMOUNT","AMOUNT",$A$1:$A$3,$A143:$B143,L$3:L$5,"#")</f>
        <v>0</v>
      </c>
      <c r="M143" s="61">
        <f>_xll.GetCtData("PKAMOUNT","AMOUNT",$A$1:$A$3,$A143:$B143,M$3:M$5,"#")</f>
        <v>0</v>
      </c>
      <c r="N143" s="61" t="e">
        <f>IF(N$1&lt;=#REF!,_xll.GetCtData("PKAMOUNT","AMOUNT",$A$1:$A$3,$A143:$B143,N$3:N$5,"#")-SUM($M143:M143),0)</f>
        <v>#REF!</v>
      </c>
      <c r="O143" s="61" t="e">
        <f>IF(O$1&lt;=#REF!,_xll.GetCtData("PKAMOUNT","AMOUNT",$A$1:$A$3,$A143:$B143,O$3:O$5,"#")-SUM($M143:N143),0)</f>
        <v>#REF!</v>
      </c>
      <c r="P143" s="61" t="e">
        <f>IF(P$1&lt;=#REF!,_xll.GetCtData("PKAMOUNT","AMOUNT",$A$1:$A$3,$A143:$B143,P$3:P$5,"#")-SUM($M143:O143),0)</f>
        <v>#REF!</v>
      </c>
      <c r="Q143" s="61" t="e">
        <f>IF(Q$1&lt;=#REF!,_xll.GetCtData("PKAMOUNT","AMOUNT",$A$1:$A$3,$A143:$B143,Q$3:Q$5,"#")-SUM($M143:P143),0)</f>
        <v>#REF!</v>
      </c>
      <c r="R143" s="61" t="e">
        <f>IF(R$1&lt;=#REF!,_xll.GetCtData("PKAMOUNT","AMOUNT",$A$1:$A$3,$A143:$B143,R$3:R$5,"#")-SUM($M143:Q143),0)</f>
        <v>#REF!</v>
      </c>
      <c r="S143" s="61" t="e">
        <f>IF(S$1&lt;=#REF!,_xll.GetCtData("PKAMOUNT","AMOUNT",$A$1:$A$3,$A143:$B143,S$3:S$5,"#")-SUM($M143:R143),0)</f>
        <v>#REF!</v>
      </c>
      <c r="T143" s="61" t="e">
        <f>IF(T$1&lt;=#REF!,_xll.GetCtData("PKAMOUNT","AMOUNT",$A$1:$A$3,$A143:$B143,T$3:T$5,"#")-SUM($M143:S143),0)</f>
        <v>#REF!</v>
      </c>
      <c r="U143" s="61" t="e">
        <f>IF(U$1&lt;=#REF!,_xll.GetCtData("PKAMOUNT","AMOUNT",$A$1:$A$3,$A143:$B143,U$3:U$5,"#")-SUM($M143:T143),0)</f>
        <v>#REF!</v>
      </c>
      <c r="V143" s="61" t="e">
        <f>IF(V$1&lt;=#REF!,_xll.GetCtData("PKAMOUNT","AMOUNT",$A$1:$A$3,$A143:$B143,V$3:V$5,"#")-SUM($M143:U143),0)</f>
        <v>#REF!</v>
      </c>
      <c r="W143" s="61" t="e">
        <f>IF(W$1&lt;=#REF!,_xll.GetCtData("PKAMOUNT","AMOUNT",$A$1:$A$3,$A143:$B143,W$3:W$5,"#")-SUM($M143:V143),0)</f>
        <v>#REF!</v>
      </c>
      <c r="X143" s="61" t="e">
        <f>IF(X$1&lt;=#REF!,_xll.GetCtData("PKAMOUNT","AMOUNT",$A$1:$A$3,$A143:$B143,X$3:X$5,"#")-SUM($M143:W143),0)</f>
        <v>#REF!</v>
      </c>
      <c r="Y143" s="61">
        <f>_xll.GetCtData("PKAMOUNT","AMOUNT",$A$1:$A$3,$A143:$B143,Y$3:Y$5,"#")</f>
        <v>0</v>
      </c>
      <c r="AA143" s="61" t="e">
        <f>$K143*#REF!/12</f>
        <v>#REF!</v>
      </c>
      <c r="AB143" s="60" t="e">
        <f t="shared" si="105"/>
        <v>#REF!</v>
      </c>
      <c r="AD143" s="61" t="e">
        <f>$L143*#REF!/12</f>
        <v>#REF!</v>
      </c>
      <c r="AE143" s="60" t="e">
        <f t="shared" si="106"/>
        <v>#REF!</v>
      </c>
    </row>
    <row r="144" spans="1:31" ht="18" customHeight="1" x14ac:dyDescent="0.2">
      <c r="A144" s="30" t="s">
        <v>204</v>
      </c>
      <c r="B144" s="30" t="s">
        <v>18</v>
      </c>
      <c r="C144" s="4" t="e">
        <f t="shared" si="107"/>
        <v>#REF!</v>
      </c>
      <c r="D144" s="4" t="e">
        <f t="shared" si="108"/>
        <v>#REF!</v>
      </c>
      <c r="F144" s="104" t="s">
        <v>139</v>
      </c>
      <c r="G144" s="36"/>
      <c r="H144" s="65">
        <f>_xll.GetCtData("PKAMOUNT","AMOUNT",$A$1:$A$3,$A144:$B144,H$3:H$5,"#")</f>
        <v>0</v>
      </c>
      <c r="I144" s="65">
        <f>_xll.GetCtData("PKAMOUNT","AMOUNT",$A$1:$A$3,$A144:$B144,I$3:I$5,"#")</f>
        <v>0</v>
      </c>
      <c r="J144" s="65">
        <f>_xll.GetCtData("PKAMOUNT","AMOUNT",$A$1:$A$3,$A144:$B144,J$3:J$5,"#")</f>
        <v>0</v>
      </c>
      <c r="K144" s="65">
        <f>_xll.GetCtData("PKAMOUNT","AMOUNT",$A$1:$A$3,$A144:$B144,K$3:K$5,"#")</f>
        <v>0</v>
      </c>
      <c r="L144" s="65">
        <f>_xll.GetCtData("PKAMOUNT","AMOUNT",$A$1:$A$3,$A144:$B144,L$3:L$5,"#")</f>
        <v>0</v>
      </c>
      <c r="M144" s="65">
        <f>_xll.GetCtData("PKAMOUNT","AMOUNT",$A$1:$A$3,$A144:$B144,M$3:M$5,"#")</f>
        <v>0</v>
      </c>
      <c r="N144" s="65" t="e">
        <f>IF(N$1&lt;=#REF!,_xll.GetCtData("PKAMOUNT","AMOUNT",$A$1:$A$3,$A144:$B144,N$3:N$5,"#")-SUM($M144:M144),0)</f>
        <v>#REF!</v>
      </c>
      <c r="O144" s="65" t="e">
        <f>IF(O$1&lt;=#REF!,_xll.GetCtData("PKAMOUNT","AMOUNT",$A$1:$A$3,$A144:$B144,O$3:O$5,"#")-SUM($M144:N144),0)</f>
        <v>#REF!</v>
      </c>
      <c r="P144" s="65" t="e">
        <f>IF(P$1&lt;=#REF!,_xll.GetCtData("PKAMOUNT","AMOUNT",$A$1:$A$3,$A144:$B144,P$3:P$5,"#")-SUM($M144:O144),0)</f>
        <v>#REF!</v>
      </c>
      <c r="Q144" s="65" t="e">
        <f>IF(Q$1&lt;=#REF!,_xll.GetCtData("PKAMOUNT","AMOUNT",$A$1:$A$3,$A144:$B144,Q$3:Q$5,"#")-SUM($M144:P144),0)</f>
        <v>#REF!</v>
      </c>
      <c r="R144" s="65" t="e">
        <f>IF(R$1&lt;=#REF!,_xll.GetCtData("PKAMOUNT","AMOUNT",$A$1:$A$3,$A144:$B144,R$3:R$5,"#")-SUM($M144:Q144),0)</f>
        <v>#REF!</v>
      </c>
      <c r="S144" s="65" t="e">
        <f>IF(S$1&lt;=#REF!,_xll.GetCtData("PKAMOUNT","AMOUNT",$A$1:$A$3,$A144:$B144,S$3:S$5,"#")-SUM($M144:R144),0)</f>
        <v>#REF!</v>
      </c>
      <c r="T144" s="65" t="e">
        <f>IF(T$1&lt;=#REF!,_xll.GetCtData("PKAMOUNT","AMOUNT",$A$1:$A$3,$A144:$B144,T$3:T$5,"#")-SUM($M144:S144),0)</f>
        <v>#REF!</v>
      </c>
      <c r="U144" s="65" t="e">
        <f>IF(U$1&lt;=#REF!,_xll.GetCtData("PKAMOUNT","AMOUNT",$A$1:$A$3,$A144:$B144,U$3:U$5,"#")-SUM($M144:T144),0)</f>
        <v>#REF!</v>
      </c>
      <c r="V144" s="65" t="e">
        <f>IF(V$1&lt;=#REF!,_xll.GetCtData("PKAMOUNT","AMOUNT",$A$1:$A$3,$A144:$B144,V$3:V$5,"#")-SUM($M144:U144),0)</f>
        <v>#REF!</v>
      </c>
      <c r="W144" s="65" t="e">
        <f>IF(W$1&lt;=#REF!,_xll.GetCtData("PKAMOUNT","AMOUNT",$A$1:$A$3,$A144:$B144,W$3:W$5,"#")-SUM($M144:V144),0)</f>
        <v>#REF!</v>
      </c>
      <c r="X144" s="65" t="e">
        <f>IF(X$1&lt;=#REF!,_xll.GetCtData("PKAMOUNT","AMOUNT",$A$1:$A$3,$A144:$B144,X$3:X$5,"#")-SUM($M144:W144),0)</f>
        <v>#REF!</v>
      </c>
      <c r="Y144" s="65">
        <f>_xll.GetCtData("PKAMOUNT","AMOUNT",$A$1:$A$3,$A144:$B144,Y$3:Y$5,"#")</f>
        <v>0</v>
      </c>
      <c r="Z144" s="36"/>
      <c r="AA144" s="65" t="e">
        <f>$K144*#REF!/12</f>
        <v>#REF!</v>
      </c>
      <c r="AB144" s="60" t="e">
        <f t="shared" si="105"/>
        <v>#REF!</v>
      </c>
      <c r="AC144" s="36"/>
      <c r="AD144" s="65" t="e">
        <f>$L144*#REF!/12</f>
        <v>#REF!</v>
      </c>
      <c r="AE144" s="60" t="e">
        <f t="shared" si="106"/>
        <v>#REF!</v>
      </c>
    </row>
    <row r="145" spans="1:31" ht="18" customHeight="1" x14ac:dyDescent="0.2">
      <c r="A145" s="30" t="s">
        <v>82</v>
      </c>
      <c r="B145" s="30" t="s">
        <v>18</v>
      </c>
      <c r="C145" s="4" t="e">
        <f t="shared" si="107"/>
        <v>#REF!</v>
      </c>
      <c r="D145" s="4" t="e">
        <f t="shared" si="108"/>
        <v>#REF!</v>
      </c>
      <c r="F145" s="106" t="s">
        <v>86</v>
      </c>
      <c r="H145" s="61">
        <f>_xll.GetCtData("PKAMOUNT","AMOUNT",$A$1:$A$3,$A145:$B145,H$3:H$5,"#")</f>
        <v>0</v>
      </c>
      <c r="I145" s="61">
        <f>_xll.GetCtData("PKAMOUNT","AMOUNT",$A$1:$A$3,$A145:$B145,I$3:I$5,"#")</f>
        <v>0</v>
      </c>
      <c r="J145" s="61">
        <f>_xll.GetCtData("PKAMOUNT","AMOUNT",$A$1:$A$3,$A145:$B145,J$3:J$5,"#")</f>
        <v>0</v>
      </c>
      <c r="K145" s="86">
        <f>_xll.GetCtData("PKAMOUNT","AMOUNT",$A$1:$A$3,$A145:$B145,K$3:K$5,"#")</f>
        <v>0</v>
      </c>
      <c r="L145" s="86">
        <f>_xll.GetCtData("PKAMOUNT","AMOUNT",$A$1:$A$3,$A145:$B145,L$3:L$5,"#")</f>
        <v>0</v>
      </c>
      <c r="M145" s="61">
        <f>_xll.GetCtData("PKAMOUNT","AMOUNT",$A$1:$A$3,$A145:$B145,M$3:M$5,"#")</f>
        <v>0</v>
      </c>
      <c r="N145" s="61" t="e">
        <f>IF(N$1&lt;=#REF!,_xll.GetCtData("PKAMOUNT","AMOUNT",$A$1:$A$3,$A145:$B145,N$3:N$5,"#")-SUM($M145:M145),0)</f>
        <v>#REF!</v>
      </c>
      <c r="O145" s="61" t="e">
        <f>IF(O$1&lt;=#REF!,_xll.GetCtData("PKAMOUNT","AMOUNT",$A$1:$A$3,$A145:$B145,O$3:O$5,"#")-SUM($M145:N145),0)</f>
        <v>#REF!</v>
      </c>
      <c r="P145" s="61" t="e">
        <f>IF(P$1&lt;=#REF!,_xll.GetCtData("PKAMOUNT","AMOUNT",$A$1:$A$3,$A145:$B145,P$3:P$5,"#")-SUM($M145:O145),0)</f>
        <v>#REF!</v>
      </c>
      <c r="Q145" s="61" t="e">
        <f>IF(Q$1&lt;=#REF!,_xll.GetCtData("PKAMOUNT","AMOUNT",$A$1:$A$3,$A145:$B145,Q$3:Q$5,"#")-SUM($M145:P145),0)</f>
        <v>#REF!</v>
      </c>
      <c r="R145" s="61" t="e">
        <f>IF(R$1&lt;=#REF!,_xll.GetCtData("PKAMOUNT","AMOUNT",$A$1:$A$3,$A145:$B145,R$3:R$5,"#")-SUM($M145:Q145),0)</f>
        <v>#REF!</v>
      </c>
      <c r="S145" s="61" t="e">
        <f>IF(S$1&lt;=#REF!,_xll.GetCtData("PKAMOUNT","AMOUNT",$A$1:$A$3,$A145:$B145,S$3:S$5,"#")-SUM($M145:R145),0)</f>
        <v>#REF!</v>
      </c>
      <c r="T145" s="61" t="e">
        <f>IF(T$1&lt;=#REF!,_xll.GetCtData("PKAMOUNT","AMOUNT",$A$1:$A$3,$A145:$B145,T$3:T$5,"#")-SUM($M145:S145),0)</f>
        <v>#REF!</v>
      </c>
      <c r="U145" s="61" t="e">
        <f>IF(U$1&lt;=#REF!,_xll.GetCtData("PKAMOUNT","AMOUNT",$A$1:$A$3,$A145:$B145,U$3:U$5,"#")-SUM($M145:T145),0)</f>
        <v>#REF!</v>
      </c>
      <c r="V145" s="61" t="e">
        <f>IF(V$1&lt;=#REF!,_xll.GetCtData("PKAMOUNT","AMOUNT",$A$1:$A$3,$A145:$B145,V$3:V$5,"#")-SUM($M145:U145),0)</f>
        <v>#REF!</v>
      </c>
      <c r="W145" s="61" t="e">
        <f>IF(W$1&lt;=#REF!,_xll.GetCtData("PKAMOUNT","AMOUNT",$A$1:$A$3,$A145:$B145,W$3:W$5,"#")-SUM($M145:V145),0)</f>
        <v>#REF!</v>
      </c>
      <c r="X145" s="61" t="e">
        <f>IF(X$1&lt;=#REF!,_xll.GetCtData("PKAMOUNT","AMOUNT",$A$1:$A$3,$A145:$B145,X$3:X$5,"#")-SUM($M145:W145),0)</f>
        <v>#REF!</v>
      </c>
      <c r="Y145" s="61">
        <f>_xll.GetCtData("PKAMOUNT","AMOUNT",$A$1:$A$3,$A145:$B145,Y$3:Y$5,"#")</f>
        <v>0</v>
      </c>
      <c r="AA145" s="61" t="e">
        <f>$K145*#REF!/12</f>
        <v>#REF!</v>
      </c>
      <c r="AB145" s="60" t="e">
        <f t="shared" si="105"/>
        <v>#REF!</v>
      </c>
      <c r="AD145" s="61" t="e">
        <f>$L145*#REF!/12</f>
        <v>#REF!</v>
      </c>
      <c r="AE145" s="60" t="e">
        <f t="shared" si="106"/>
        <v>#REF!</v>
      </c>
    </row>
    <row r="146" spans="1:31" ht="18" hidden="1" customHeight="1" outlineLevel="1" x14ac:dyDescent="0.2">
      <c r="A146" s="30" t="s">
        <v>140</v>
      </c>
      <c r="B146" s="30" t="s">
        <v>18</v>
      </c>
      <c r="C146" s="4" t="e">
        <f t="shared" si="107"/>
        <v>#REF!</v>
      </c>
      <c r="D146" s="4" t="e">
        <f t="shared" si="108"/>
        <v>#REF!</v>
      </c>
      <c r="F146" s="38" t="s">
        <v>141</v>
      </c>
      <c r="G146" s="34"/>
      <c r="H146" s="66">
        <f>_xll.GetCtData("PKAMOUNT","AMOUNT",$A$1:$A$3,$A146:$B146,H$3:H$5,"#")</f>
        <v>0</v>
      </c>
      <c r="I146" s="66">
        <f>_xll.GetCtData("PKAMOUNT","AMOUNT",$A$1:$A$3,$A146:$B146,I$3:I$5,"#")</f>
        <v>0</v>
      </c>
      <c r="J146" s="66">
        <f>_xll.GetCtData("PKAMOUNT","AMOUNT",$A$1:$A$3,$A146:$B146,J$3:J$5,"#")</f>
        <v>0</v>
      </c>
      <c r="K146" s="86">
        <f>_xll.GetCtData("PKAMOUNT","AMOUNT",$A$1:$A$3,$A146:$B146,K$3:K$5,"#")</f>
        <v>0</v>
      </c>
      <c r="L146" s="86">
        <f>_xll.GetCtData("PKAMOUNT","AMOUNT",$A$1:$A$3,$A146:$B146,L$3:L$5,"#")</f>
        <v>0</v>
      </c>
      <c r="M146" s="66">
        <f>_xll.GetCtData("PKAMOUNT","AMOUNT",$A$1:$A$3,$A146:$B146,M$3:M$5,"#")</f>
        <v>0</v>
      </c>
      <c r="N146" s="66" t="e">
        <f>IF(N$1&lt;=#REF!,_xll.GetCtData("PKAMOUNT","AMOUNT",$A$1:$A$3,$A146:$B146,N$3:N$5,"#")-SUM($M146:M146),0)</f>
        <v>#REF!</v>
      </c>
      <c r="O146" s="66" t="e">
        <f>IF(O$1&lt;=#REF!,_xll.GetCtData("PKAMOUNT","AMOUNT",$A$1:$A$3,$A146:$B146,O$3:O$5,"#")-SUM($M146:N146),0)</f>
        <v>#REF!</v>
      </c>
      <c r="P146" s="66" t="e">
        <f>IF(P$1&lt;=#REF!,_xll.GetCtData("PKAMOUNT","AMOUNT",$A$1:$A$3,$A146:$B146,P$3:P$5,"#")-SUM($M146:O146),0)</f>
        <v>#REF!</v>
      </c>
      <c r="Q146" s="66" t="e">
        <f>IF(Q$1&lt;=#REF!,_xll.GetCtData("PKAMOUNT","AMOUNT",$A$1:$A$3,$A146:$B146,Q$3:Q$5,"#")-SUM($M146:P146),0)</f>
        <v>#REF!</v>
      </c>
      <c r="R146" s="66" t="e">
        <f>IF(R$1&lt;=#REF!,_xll.GetCtData("PKAMOUNT","AMOUNT",$A$1:$A$3,$A146:$B146,R$3:R$5,"#")-SUM($M146:Q146),0)</f>
        <v>#REF!</v>
      </c>
      <c r="S146" s="66" t="e">
        <f>IF(S$1&lt;=#REF!,_xll.GetCtData("PKAMOUNT","AMOUNT",$A$1:$A$3,$A146:$B146,S$3:S$5,"#")-SUM($M146:R146),0)</f>
        <v>#REF!</v>
      </c>
      <c r="T146" s="66" t="e">
        <f>IF(T$1&lt;=#REF!,_xll.GetCtData("PKAMOUNT","AMOUNT",$A$1:$A$3,$A146:$B146,T$3:T$5,"#")-SUM($M146:S146),0)</f>
        <v>#REF!</v>
      </c>
      <c r="U146" s="66" t="e">
        <f>IF(U$1&lt;=#REF!,_xll.GetCtData("PKAMOUNT","AMOUNT",$A$1:$A$3,$A146:$B146,U$3:U$5,"#")-SUM($M146:T146),0)</f>
        <v>#REF!</v>
      </c>
      <c r="V146" s="66" t="e">
        <f>IF(V$1&lt;=#REF!,_xll.GetCtData("PKAMOUNT","AMOUNT",$A$1:$A$3,$A146:$B146,V$3:V$5,"#")-SUM($M146:U146),0)</f>
        <v>#REF!</v>
      </c>
      <c r="W146" s="66" t="e">
        <f>IF(W$1&lt;=#REF!,_xll.GetCtData("PKAMOUNT","AMOUNT",$A$1:$A$3,$A146:$B146,W$3:W$5,"#")-SUM($M146:V146),0)</f>
        <v>#REF!</v>
      </c>
      <c r="X146" s="66" t="e">
        <f>IF(X$1&lt;=#REF!,_xll.GetCtData("PKAMOUNT","AMOUNT",$A$1:$A$3,$A146:$B146,X$3:X$5,"#")-SUM($M146:W146),0)</f>
        <v>#REF!</v>
      </c>
      <c r="Y146" s="66">
        <f>_xll.GetCtData("PKAMOUNT","AMOUNT",$A$1:$A$3,$A146:$B146,Y$3:Y$5,"#")</f>
        <v>0</v>
      </c>
      <c r="Z146" s="34"/>
      <c r="AA146" s="66" t="e">
        <f>$K146*#REF!/12</f>
        <v>#REF!</v>
      </c>
      <c r="AB146" s="60" t="e">
        <f t="shared" si="105"/>
        <v>#REF!</v>
      </c>
      <c r="AC146" s="34"/>
      <c r="AD146" s="66" t="e">
        <f>$L146*#REF!/12</f>
        <v>#REF!</v>
      </c>
      <c r="AE146" s="60" t="e">
        <f t="shared" si="106"/>
        <v>#REF!</v>
      </c>
    </row>
    <row r="147" spans="1:31" ht="18" hidden="1" customHeight="1" outlineLevel="1" x14ac:dyDescent="0.2">
      <c r="A147" s="30" t="s">
        <v>123</v>
      </c>
      <c r="B147" s="30" t="s">
        <v>18</v>
      </c>
      <c r="C147" s="4" t="e">
        <f t="shared" si="107"/>
        <v>#REF!</v>
      </c>
      <c r="D147" s="4" t="e">
        <f t="shared" si="108"/>
        <v>#REF!</v>
      </c>
      <c r="F147" s="38" t="s">
        <v>142</v>
      </c>
      <c r="G147" s="34"/>
      <c r="H147" s="66">
        <f>_xll.GetCtData("PKAMOUNT","AMOUNT",$A$1:$A$3,$A147:$B147,H$3:H$5,"#")</f>
        <v>0</v>
      </c>
      <c r="I147" s="66">
        <f>_xll.GetCtData("PKAMOUNT","AMOUNT",$A$1:$A$3,$A147:$B147,I$3:I$5,"#")</f>
        <v>0</v>
      </c>
      <c r="J147" s="66">
        <f>_xll.GetCtData("PKAMOUNT","AMOUNT",$A$1:$A$3,$A147:$B147,J$3:J$5,"#")</f>
        <v>0</v>
      </c>
      <c r="K147" s="86">
        <f>_xll.GetCtData("PKAMOUNT","AMOUNT",$A$1:$A$3,$A147:$B147,K$3:K$5,"#")</f>
        <v>0</v>
      </c>
      <c r="L147" s="86">
        <f>_xll.GetCtData("PKAMOUNT","AMOUNT",$A$1:$A$3,$A147:$B147,L$3:L$5,"#")</f>
        <v>0</v>
      </c>
      <c r="M147" s="66">
        <f>_xll.GetCtData("PKAMOUNT","AMOUNT",$A$1:$A$3,$A147:$B147,M$3:M$5,"#")</f>
        <v>0</v>
      </c>
      <c r="N147" s="66" t="e">
        <f>IF(N$1&lt;=#REF!,_xll.GetCtData("PKAMOUNT","AMOUNT",$A$1:$A$3,$A147:$B147,N$3:N$5,"#")-SUM($M147:M147),0)</f>
        <v>#REF!</v>
      </c>
      <c r="O147" s="66" t="e">
        <f>IF(O$1&lt;=#REF!,_xll.GetCtData("PKAMOUNT","AMOUNT",$A$1:$A$3,$A147:$B147,O$3:O$5,"#")-SUM($M147:N147),0)</f>
        <v>#REF!</v>
      </c>
      <c r="P147" s="66" t="e">
        <f>IF(P$1&lt;=#REF!,_xll.GetCtData("PKAMOUNT","AMOUNT",$A$1:$A$3,$A147:$B147,P$3:P$5,"#")-SUM($M147:O147),0)</f>
        <v>#REF!</v>
      </c>
      <c r="Q147" s="66" t="e">
        <f>IF(Q$1&lt;=#REF!,_xll.GetCtData("PKAMOUNT","AMOUNT",$A$1:$A$3,$A147:$B147,Q$3:Q$5,"#")-SUM($M147:P147),0)</f>
        <v>#REF!</v>
      </c>
      <c r="R147" s="66" t="e">
        <f>IF(R$1&lt;=#REF!,_xll.GetCtData("PKAMOUNT","AMOUNT",$A$1:$A$3,$A147:$B147,R$3:R$5,"#")-SUM($M147:Q147),0)</f>
        <v>#REF!</v>
      </c>
      <c r="S147" s="66" t="e">
        <f>IF(S$1&lt;=#REF!,_xll.GetCtData("PKAMOUNT","AMOUNT",$A$1:$A$3,$A147:$B147,S$3:S$5,"#")-SUM($M147:R147),0)</f>
        <v>#REF!</v>
      </c>
      <c r="T147" s="66" t="e">
        <f>IF(T$1&lt;=#REF!,_xll.GetCtData("PKAMOUNT","AMOUNT",$A$1:$A$3,$A147:$B147,T$3:T$5,"#")-SUM($M147:S147),0)</f>
        <v>#REF!</v>
      </c>
      <c r="U147" s="66" t="e">
        <f>IF(U$1&lt;=#REF!,_xll.GetCtData("PKAMOUNT","AMOUNT",$A$1:$A$3,$A147:$B147,U$3:U$5,"#")-SUM($M147:T147),0)</f>
        <v>#REF!</v>
      </c>
      <c r="V147" s="66" t="e">
        <f>IF(V$1&lt;=#REF!,_xll.GetCtData("PKAMOUNT","AMOUNT",$A$1:$A$3,$A147:$B147,V$3:V$5,"#")-SUM($M147:U147),0)</f>
        <v>#REF!</v>
      </c>
      <c r="W147" s="66" t="e">
        <f>IF(W$1&lt;=#REF!,_xll.GetCtData("PKAMOUNT","AMOUNT",$A$1:$A$3,$A147:$B147,W$3:W$5,"#")-SUM($M147:V147),0)</f>
        <v>#REF!</v>
      </c>
      <c r="X147" s="66" t="e">
        <f>IF(X$1&lt;=#REF!,_xll.GetCtData("PKAMOUNT","AMOUNT",$A$1:$A$3,$A147:$B147,X$3:X$5,"#")-SUM($M147:W147),0)</f>
        <v>#REF!</v>
      </c>
      <c r="Y147" s="66">
        <f>_xll.GetCtData("PKAMOUNT","AMOUNT",$A$1:$A$3,$A147:$B147,Y$3:Y$5,"#")</f>
        <v>0</v>
      </c>
      <c r="Z147" s="34"/>
      <c r="AA147" s="66" t="e">
        <f>$K147*#REF!/12</f>
        <v>#REF!</v>
      </c>
      <c r="AB147" s="60" t="e">
        <f t="shared" si="105"/>
        <v>#REF!</v>
      </c>
      <c r="AC147" s="34"/>
      <c r="AD147" s="66" t="e">
        <f>$L147*#REF!/12</f>
        <v>#REF!</v>
      </c>
      <c r="AE147" s="60" t="e">
        <f t="shared" si="106"/>
        <v>#REF!</v>
      </c>
    </row>
    <row r="148" spans="1:31" ht="18" hidden="1" customHeight="1" outlineLevel="1" x14ac:dyDescent="0.2">
      <c r="A148" s="30" t="s">
        <v>124</v>
      </c>
      <c r="B148" s="30" t="s">
        <v>18</v>
      </c>
      <c r="C148" s="4" t="e">
        <f t="shared" si="107"/>
        <v>#REF!</v>
      </c>
      <c r="D148" s="4" t="e">
        <f t="shared" si="108"/>
        <v>#REF!</v>
      </c>
      <c r="F148" s="38" t="s">
        <v>143</v>
      </c>
      <c r="G148" s="34"/>
      <c r="H148" s="66">
        <f>_xll.GetCtData("PKAMOUNT","AMOUNT",$A$1:$A$3,$A148:$B148,H$3:H$5,"#")</f>
        <v>0</v>
      </c>
      <c r="I148" s="66">
        <f>_xll.GetCtData("PKAMOUNT","AMOUNT",$A$1:$A$3,$A148:$B148,I$3:I$5,"#")</f>
        <v>0</v>
      </c>
      <c r="J148" s="66">
        <f>_xll.GetCtData("PKAMOUNT","AMOUNT",$A$1:$A$3,$A148:$B148,J$3:J$5,"#")</f>
        <v>0</v>
      </c>
      <c r="K148" s="86">
        <f>_xll.GetCtData("PKAMOUNT","AMOUNT",$A$1:$A$3,$A148:$B148,K$3:K$5,"#")</f>
        <v>0</v>
      </c>
      <c r="L148" s="86">
        <f>_xll.GetCtData("PKAMOUNT","AMOUNT",$A$1:$A$3,$A148:$B148,L$3:L$5,"#")</f>
        <v>0</v>
      </c>
      <c r="M148" s="66">
        <f>_xll.GetCtData("PKAMOUNT","AMOUNT",$A$1:$A$3,$A148:$B148,M$3:M$5,"#")</f>
        <v>0</v>
      </c>
      <c r="N148" s="66" t="e">
        <f>IF(N$1&lt;=#REF!,_xll.GetCtData("PKAMOUNT","AMOUNT",$A$1:$A$3,$A148:$B148,N$3:N$5,"#")-SUM($M148:M148),0)</f>
        <v>#REF!</v>
      </c>
      <c r="O148" s="66" t="e">
        <f>IF(O$1&lt;=#REF!,_xll.GetCtData("PKAMOUNT","AMOUNT",$A$1:$A$3,$A148:$B148,O$3:O$5,"#")-SUM($M148:N148),0)</f>
        <v>#REF!</v>
      </c>
      <c r="P148" s="66" t="e">
        <f>IF(P$1&lt;=#REF!,_xll.GetCtData("PKAMOUNT","AMOUNT",$A$1:$A$3,$A148:$B148,P$3:P$5,"#")-SUM($M148:O148),0)</f>
        <v>#REF!</v>
      </c>
      <c r="Q148" s="66" t="e">
        <f>IF(Q$1&lt;=#REF!,_xll.GetCtData("PKAMOUNT","AMOUNT",$A$1:$A$3,$A148:$B148,Q$3:Q$5,"#")-SUM($M148:P148),0)</f>
        <v>#REF!</v>
      </c>
      <c r="R148" s="66" t="e">
        <f>IF(R$1&lt;=#REF!,_xll.GetCtData("PKAMOUNT","AMOUNT",$A$1:$A$3,$A148:$B148,R$3:R$5,"#")-SUM($M148:Q148),0)</f>
        <v>#REF!</v>
      </c>
      <c r="S148" s="66" t="e">
        <f>IF(S$1&lt;=#REF!,_xll.GetCtData("PKAMOUNT","AMOUNT",$A$1:$A$3,$A148:$B148,S$3:S$5,"#")-SUM($M148:R148),0)</f>
        <v>#REF!</v>
      </c>
      <c r="T148" s="66" t="e">
        <f>IF(T$1&lt;=#REF!,_xll.GetCtData("PKAMOUNT","AMOUNT",$A$1:$A$3,$A148:$B148,T$3:T$5,"#")-SUM($M148:S148),0)</f>
        <v>#REF!</v>
      </c>
      <c r="U148" s="66" t="e">
        <f>IF(U$1&lt;=#REF!,_xll.GetCtData("PKAMOUNT","AMOUNT",$A$1:$A$3,$A148:$B148,U$3:U$5,"#")-SUM($M148:T148),0)</f>
        <v>#REF!</v>
      </c>
      <c r="V148" s="66" t="e">
        <f>IF(V$1&lt;=#REF!,_xll.GetCtData("PKAMOUNT","AMOUNT",$A$1:$A$3,$A148:$B148,V$3:V$5,"#")-SUM($M148:U148),0)</f>
        <v>#REF!</v>
      </c>
      <c r="W148" s="66" t="e">
        <f>IF(W$1&lt;=#REF!,_xll.GetCtData("PKAMOUNT","AMOUNT",$A$1:$A$3,$A148:$B148,W$3:W$5,"#")-SUM($M148:V148),0)</f>
        <v>#REF!</v>
      </c>
      <c r="X148" s="66" t="e">
        <f>IF(X$1&lt;=#REF!,_xll.GetCtData("PKAMOUNT","AMOUNT",$A$1:$A$3,$A148:$B148,X$3:X$5,"#")-SUM($M148:W148),0)</f>
        <v>#REF!</v>
      </c>
      <c r="Y148" s="66">
        <f>_xll.GetCtData("PKAMOUNT","AMOUNT",$A$1:$A$3,$A148:$B148,Y$3:Y$5,"#")</f>
        <v>0</v>
      </c>
      <c r="Z148" s="34"/>
      <c r="AA148" s="66" t="e">
        <f>$K148*#REF!/12</f>
        <v>#REF!</v>
      </c>
      <c r="AB148" s="60" t="e">
        <f t="shared" si="105"/>
        <v>#REF!</v>
      </c>
      <c r="AC148" s="34"/>
      <c r="AD148" s="66" t="e">
        <f>$L148*#REF!/12</f>
        <v>#REF!</v>
      </c>
      <c r="AE148" s="60" t="e">
        <f t="shared" si="106"/>
        <v>#REF!</v>
      </c>
    </row>
    <row r="149" spans="1:31" ht="18" hidden="1" customHeight="1" outlineLevel="1" x14ac:dyDescent="0.2">
      <c r="A149" s="30" t="s">
        <v>265</v>
      </c>
      <c r="B149" s="30" t="s">
        <v>18</v>
      </c>
      <c r="C149" s="4" t="e">
        <f t="shared" si="107"/>
        <v>#REF!</v>
      </c>
      <c r="D149" s="4" t="e">
        <f t="shared" si="108"/>
        <v>#REF!</v>
      </c>
      <c r="F149" s="38" t="s">
        <v>266</v>
      </c>
      <c r="G149" s="34"/>
      <c r="H149" s="66">
        <f>_xll.GetCtData("PKAMOUNT","AMOUNT",$A$1:$A$3,$A149:$B149,H$3:H$5,"#")</f>
        <v>0</v>
      </c>
      <c r="I149" s="66">
        <f>_xll.GetCtData("PKAMOUNT","AMOUNT",$A$1:$A$3,$A149:$B149,I$3:I$5,"#")</f>
        <v>0</v>
      </c>
      <c r="J149" s="66">
        <f>_xll.GetCtData("PKAMOUNT","AMOUNT",$A$1:$A$3,$A149:$B149,J$3:J$5,"#")</f>
        <v>0</v>
      </c>
      <c r="K149" s="86">
        <f>_xll.GetCtData("PKAMOUNT","AMOUNT",$A$1:$A$3,$A149:$B149,K$3:K$5,"#")</f>
        <v>0</v>
      </c>
      <c r="L149" s="86">
        <f>_xll.GetCtData("PKAMOUNT","AMOUNT",$A$1:$A$3,$A149:$B149,L$3:L$5,"#")</f>
        <v>0</v>
      </c>
      <c r="M149" s="66">
        <f>_xll.GetCtData("PKAMOUNT","AMOUNT",$A$1:$A$3,$A149:$B149,M$3:M$5,"#")</f>
        <v>0</v>
      </c>
      <c r="N149" s="66" t="e">
        <f>IF(N$1&lt;=#REF!,_xll.GetCtData("PKAMOUNT","AMOUNT",$A$1:$A$3,$A149:$B149,N$3:N$5,"#")-SUM($M149:M149),0)</f>
        <v>#REF!</v>
      </c>
      <c r="O149" s="66" t="e">
        <f>IF(O$1&lt;=#REF!,_xll.GetCtData("PKAMOUNT","AMOUNT",$A$1:$A$3,$A149:$B149,O$3:O$5,"#")-SUM($M149:N149),0)</f>
        <v>#REF!</v>
      </c>
      <c r="P149" s="66" t="e">
        <f>IF(P$1&lt;=#REF!,_xll.GetCtData("PKAMOUNT","AMOUNT",$A$1:$A$3,$A149:$B149,P$3:P$5,"#")-SUM($M149:O149),0)</f>
        <v>#REF!</v>
      </c>
      <c r="Q149" s="66" t="e">
        <f>IF(Q$1&lt;=#REF!,_xll.GetCtData("PKAMOUNT","AMOUNT",$A$1:$A$3,$A149:$B149,Q$3:Q$5,"#")-SUM($M149:P149),0)</f>
        <v>#REF!</v>
      </c>
      <c r="R149" s="66" t="e">
        <f>IF(R$1&lt;=#REF!,_xll.GetCtData("PKAMOUNT","AMOUNT",$A$1:$A$3,$A149:$B149,R$3:R$5,"#")-SUM($M149:Q149),0)</f>
        <v>#REF!</v>
      </c>
      <c r="S149" s="66" t="e">
        <f>IF(S$1&lt;=#REF!,_xll.GetCtData("PKAMOUNT","AMOUNT",$A$1:$A$3,$A149:$B149,S$3:S$5,"#")-SUM($M149:R149),0)</f>
        <v>#REF!</v>
      </c>
      <c r="T149" s="66" t="e">
        <f>IF(T$1&lt;=#REF!,_xll.GetCtData("PKAMOUNT","AMOUNT",$A$1:$A$3,$A149:$B149,T$3:T$5,"#")-SUM($M149:S149),0)</f>
        <v>#REF!</v>
      </c>
      <c r="U149" s="66" t="e">
        <f>IF(U$1&lt;=#REF!,_xll.GetCtData("PKAMOUNT","AMOUNT",$A$1:$A$3,$A149:$B149,U$3:U$5,"#")-SUM($M149:T149),0)</f>
        <v>#REF!</v>
      </c>
      <c r="V149" s="66" t="e">
        <f>IF(V$1&lt;=#REF!,_xll.GetCtData("PKAMOUNT","AMOUNT",$A$1:$A$3,$A149:$B149,V$3:V$5,"#")-SUM($M149:U149),0)</f>
        <v>#REF!</v>
      </c>
      <c r="W149" s="66" t="e">
        <f>IF(W$1&lt;=#REF!,_xll.GetCtData("PKAMOUNT","AMOUNT",$A$1:$A$3,$A149:$B149,W$3:W$5,"#")-SUM($M149:V149),0)</f>
        <v>#REF!</v>
      </c>
      <c r="X149" s="66" t="e">
        <f>IF(X$1&lt;=#REF!,_xll.GetCtData("PKAMOUNT","AMOUNT",$A$1:$A$3,$A149:$B149,X$3:X$5,"#")-SUM($M149:W149),0)</f>
        <v>#REF!</v>
      </c>
      <c r="Y149" s="66">
        <f>_xll.GetCtData("PKAMOUNT","AMOUNT",$A$1:$A$3,$A149:$B149,Y$3:Y$5,"#")</f>
        <v>0</v>
      </c>
      <c r="Z149" s="34"/>
      <c r="AA149" s="66" t="e">
        <f>$K149*#REF!/12</f>
        <v>#REF!</v>
      </c>
      <c r="AB149" s="60" t="e">
        <f t="shared" si="105"/>
        <v>#REF!</v>
      </c>
      <c r="AC149" s="34"/>
      <c r="AD149" s="66" t="e">
        <f>$L149*#REF!/12</f>
        <v>#REF!</v>
      </c>
      <c r="AE149" s="60" t="e">
        <f t="shared" si="106"/>
        <v>#REF!</v>
      </c>
    </row>
    <row r="150" spans="1:31" ht="18" hidden="1" customHeight="1" outlineLevel="1" x14ac:dyDescent="0.2">
      <c r="A150" s="30" t="s">
        <v>144</v>
      </c>
      <c r="B150" s="30" t="s">
        <v>18</v>
      </c>
      <c r="C150" s="4" t="e">
        <f t="shared" si="107"/>
        <v>#REF!</v>
      </c>
      <c r="D150" s="4" t="e">
        <f t="shared" si="108"/>
        <v>#REF!</v>
      </c>
      <c r="F150" s="38" t="s">
        <v>145</v>
      </c>
      <c r="G150" s="34"/>
      <c r="H150" s="66">
        <f>_xll.GetCtData("PKAMOUNT","AMOUNT",$A$1:$A$3,$A150:$B150,H$3:H$5,"#")</f>
        <v>0</v>
      </c>
      <c r="I150" s="66">
        <f>_xll.GetCtData("PKAMOUNT","AMOUNT",$A$1:$A$3,$A150:$B150,I$3:I$5,"#")</f>
        <v>0</v>
      </c>
      <c r="J150" s="66">
        <f>_xll.GetCtData("PKAMOUNT","AMOUNT",$A$1:$A$3,$A150:$B150,J$3:J$5,"#")</f>
        <v>0</v>
      </c>
      <c r="K150" s="86">
        <f>_xll.GetCtData("PKAMOUNT","AMOUNT",$A$1:$A$3,$A150:$B150,K$3:K$5,"#")</f>
        <v>0</v>
      </c>
      <c r="L150" s="86">
        <f>_xll.GetCtData("PKAMOUNT","AMOUNT",$A$1:$A$3,$A150:$B150,L$3:L$5,"#")</f>
        <v>0</v>
      </c>
      <c r="M150" s="66">
        <f>_xll.GetCtData("PKAMOUNT","AMOUNT",$A$1:$A$3,$A150:$B150,M$3:M$5,"#")</f>
        <v>0</v>
      </c>
      <c r="N150" s="66" t="e">
        <f>IF(N$1&lt;=#REF!,_xll.GetCtData("PKAMOUNT","AMOUNT",$A$1:$A$3,$A150:$B150,N$3:N$5,"#")-SUM($M150:M150),0)</f>
        <v>#REF!</v>
      </c>
      <c r="O150" s="66" t="e">
        <f>IF(O$1&lt;=#REF!,_xll.GetCtData("PKAMOUNT","AMOUNT",$A$1:$A$3,$A150:$B150,O$3:O$5,"#")-SUM($M150:N150),0)</f>
        <v>#REF!</v>
      </c>
      <c r="P150" s="66" t="e">
        <f>IF(P$1&lt;=#REF!,_xll.GetCtData("PKAMOUNT","AMOUNT",$A$1:$A$3,$A150:$B150,P$3:P$5,"#")-SUM($M150:O150),0)</f>
        <v>#REF!</v>
      </c>
      <c r="Q150" s="66" t="e">
        <f>IF(Q$1&lt;=#REF!,_xll.GetCtData("PKAMOUNT","AMOUNT",$A$1:$A$3,$A150:$B150,Q$3:Q$5,"#")-SUM($M150:P150),0)</f>
        <v>#REF!</v>
      </c>
      <c r="R150" s="66" t="e">
        <f>IF(R$1&lt;=#REF!,_xll.GetCtData("PKAMOUNT","AMOUNT",$A$1:$A$3,$A150:$B150,R$3:R$5,"#")-SUM($M150:Q150),0)</f>
        <v>#REF!</v>
      </c>
      <c r="S150" s="66" t="e">
        <f>IF(S$1&lt;=#REF!,_xll.GetCtData("PKAMOUNT","AMOUNT",$A$1:$A$3,$A150:$B150,S$3:S$5,"#")-SUM($M150:R150),0)</f>
        <v>#REF!</v>
      </c>
      <c r="T150" s="66" t="e">
        <f>IF(T$1&lt;=#REF!,_xll.GetCtData("PKAMOUNT","AMOUNT",$A$1:$A$3,$A150:$B150,T$3:T$5,"#")-SUM($M150:S150),0)</f>
        <v>#REF!</v>
      </c>
      <c r="U150" s="66" t="e">
        <f>IF(U$1&lt;=#REF!,_xll.GetCtData("PKAMOUNT","AMOUNT",$A$1:$A$3,$A150:$B150,U$3:U$5,"#")-SUM($M150:T150),0)</f>
        <v>#REF!</v>
      </c>
      <c r="V150" s="66" t="e">
        <f>IF(V$1&lt;=#REF!,_xll.GetCtData("PKAMOUNT","AMOUNT",$A$1:$A$3,$A150:$B150,V$3:V$5,"#")-SUM($M150:U150),0)</f>
        <v>#REF!</v>
      </c>
      <c r="W150" s="66" t="e">
        <f>IF(W$1&lt;=#REF!,_xll.GetCtData("PKAMOUNT","AMOUNT",$A$1:$A$3,$A150:$B150,W$3:W$5,"#")-SUM($M150:V150),0)</f>
        <v>#REF!</v>
      </c>
      <c r="X150" s="66" t="e">
        <f>IF(X$1&lt;=#REF!,_xll.GetCtData("PKAMOUNT","AMOUNT",$A$1:$A$3,$A150:$B150,X$3:X$5,"#")-SUM($M150:W150),0)</f>
        <v>#REF!</v>
      </c>
      <c r="Y150" s="66">
        <f>_xll.GetCtData("PKAMOUNT","AMOUNT",$A$1:$A$3,$A150:$B150,Y$3:Y$5,"#")</f>
        <v>0</v>
      </c>
      <c r="Z150" s="34"/>
      <c r="AA150" s="66" t="e">
        <f>$K150*#REF!/12</f>
        <v>#REF!</v>
      </c>
      <c r="AB150" s="60" t="e">
        <f t="shared" si="105"/>
        <v>#REF!</v>
      </c>
      <c r="AC150" s="34"/>
      <c r="AD150" s="66" t="e">
        <f>$L150*#REF!/12</f>
        <v>#REF!</v>
      </c>
      <c r="AE150" s="60" t="e">
        <f t="shared" si="106"/>
        <v>#REF!</v>
      </c>
    </row>
    <row r="151" spans="1:31" ht="18" customHeight="1" collapsed="1" x14ac:dyDescent="0.2">
      <c r="A151" s="35"/>
      <c r="B151" s="35"/>
      <c r="C151" s="4" t="e">
        <f t="shared" si="107"/>
        <v>#REF!</v>
      </c>
      <c r="D151" s="4" t="e">
        <f t="shared" si="108"/>
        <v>#REF!</v>
      </c>
      <c r="F151" s="106" t="s">
        <v>69</v>
      </c>
      <c r="H151" s="61">
        <f>H146+H147+H148+H149+H150</f>
        <v>0</v>
      </c>
      <c r="I151" s="61">
        <f t="shared" ref="I151:Y151" si="109">I146+I147+I148+I149+I150</f>
        <v>0</v>
      </c>
      <c r="J151" s="61">
        <f t="shared" si="109"/>
        <v>0</v>
      </c>
      <c r="K151" s="86">
        <f t="shared" si="109"/>
        <v>0</v>
      </c>
      <c r="L151" s="86">
        <f t="shared" si="109"/>
        <v>0</v>
      </c>
      <c r="M151" s="61">
        <f t="shared" si="109"/>
        <v>0</v>
      </c>
      <c r="N151" s="61" t="e">
        <f t="shared" si="109"/>
        <v>#REF!</v>
      </c>
      <c r="O151" s="61" t="e">
        <f t="shared" si="109"/>
        <v>#REF!</v>
      </c>
      <c r="P151" s="61" t="e">
        <f t="shared" si="109"/>
        <v>#REF!</v>
      </c>
      <c r="Q151" s="61" t="e">
        <f t="shared" si="109"/>
        <v>#REF!</v>
      </c>
      <c r="R151" s="61" t="e">
        <f t="shared" si="109"/>
        <v>#REF!</v>
      </c>
      <c r="S151" s="61" t="e">
        <f t="shared" ref="S151:T151" si="110">S146+S147+S148+S149+S150</f>
        <v>#REF!</v>
      </c>
      <c r="T151" s="61" t="e">
        <f t="shared" si="110"/>
        <v>#REF!</v>
      </c>
      <c r="U151" s="61" t="e">
        <f t="shared" si="109"/>
        <v>#REF!</v>
      </c>
      <c r="V151" s="61" t="e">
        <f t="shared" si="109"/>
        <v>#REF!</v>
      </c>
      <c r="W151" s="61" t="e">
        <f t="shared" si="109"/>
        <v>#REF!</v>
      </c>
      <c r="X151" s="61" t="e">
        <f t="shared" si="109"/>
        <v>#REF!</v>
      </c>
      <c r="Y151" s="61">
        <f t="shared" si="109"/>
        <v>0</v>
      </c>
      <c r="AA151" s="61" t="e">
        <f>$K151*#REF!/12</f>
        <v>#REF!</v>
      </c>
      <c r="AB151" s="60" t="e">
        <f t="shared" si="105"/>
        <v>#REF!</v>
      </c>
      <c r="AD151" s="61" t="e">
        <f>$L151*#REF!/12</f>
        <v>#REF!</v>
      </c>
      <c r="AE151" s="60" t="e">
        <f t="shared" si="106"/>
        <v>#REF!</v>
      </c>
    </row>
    <row r="152" spans="1:31" ht="18" customHeight="1" x14ac:dyDescent="0.2">
      <c r="A152" s="35"/>
      <c r="B152" s="35"/>
      <c r="C152" s="4" t="e">
        <f t="shared" si="107"/>
        <v>#REF!</v>
      </c>
      <c r="D152" s="4" t="e">
        <f t="shared" si="108"/>
        <v>#REF!</v>
      </c>
      <c r="F152" s="95" t="s">
        <v>276</v>
      </c>
      <c r="H152" s="64">
        <f>H141+H142+H143+H144+H145+H151</f>
        <v>123.39400000000001</v>
      </c>
      <c r="I152" s="64">
        <f t="shared" ref="I152:Y152" si="111">I141+I142+I143+I144+I145+I151</f>
        <v>0</v>
      </c>
      <c r="J152" s="64">
        <f t="shared" si="111"/>
        <v>0</v>
      </c>
      <c r="K152" s="89">
        <f t="shared" si="111"/>
        <v>0</v>
      </c>
      <c r="L152" s="89">
        <f t="shared" si="111"/>
        <v>0</v>
      </c>
      <c r="M152" s="64">
        <f t="shared" si="111"/>
        <v>0</v>
      </c>
      <c r="N152" s="64" t="e">
        <f t="shared" si="111"/>
        <v>#REF!</v>
      </c>
      <c r="O152" s="64" t="e">
        <f t="shared" si="111"/>
        <v>#REF!</v>
      </c>
      <c r="P152" s="64" t="e">
        <f t="shared" si="111"/>
        <v>#REF!</v>
      </c>
      <c r="Q152" s="64" t="e">
        <f t="shared" si="111"/>
        <v>#REF!</v>
      </c>
      <c r="R152" s="64" t="e">
        <f t="shared" si="111"/>
        <v>#REF!</v>
      </c>
      <c r="S152" s="64" t="e">
        <f t="shared" ref="S152:T152" si="112">S141+S142+S143+S144+S145+S151</f>
        <v>#REF!</v>
      </c>
      <c r="T152" s="64" t="e">
        <f t="shared" si="112"/>
        <v>#REF!</v>
      </c>
      <c r="U152" s="64" t="e">
        <f t="shared" si="111"/>
        <v>#REF!</v>
      </c>
      <c r="V152" s="64" t="e">
        <f t="shared" si="111"/>
        <v>#REF!</v>
      </c>
      <c r="W152" s="64" t="e">
        <f t="shared" si="111"/>
        <v>#REF!</v>
      </c>
      <c r="X152" s="64" t="e">
        <f t="shared" si="111"/>
        <v>#REF!</v>
      </c>
      <c r="Y152" s="64">
        <f t="shared" si="111"/>
        <v>0</v>
      </c>
      <c r="AA152" s="64" t="e">
        <f>$K152*#REF!/12</f>
        <v>#REF!</v>
      </c>
      <c r="AB152" s="60" t="e">
        <f t="shared" si="105"/>
        <v>#REF!</v>
      </c>
      <c r="AD152" s="64" t="e">
        <f>$L152*#REF!/12</f>
        <v>#REF!</v>
      </c>
      <c r="AE152" s="60" t="e">
        <f t="shared" si="106"/>
        <v>#REF!</v>
      </c>
    </row>
    <row r="153" spans="1:31" ht="12.95" customHeight="1" x14ac:dyDescent="0.2">
      <c r="A153" s="35"/>
      <c r="B153" s="35"/>
      <c r="C153" s="4"/>
      <c r="D153" s="4"/>
      <c r="F153" s="39" t="s">
        <v>223</v>
      </c>
      <c r="H153" s="56">
        <f>-H152/(H$58)</f>
        <v>3.2259025907819407</v>
      </c>
      <c r="I153" s="56">
        <f t="shared" ref="I153:L153" si="113">-I152/(I$58)</f>
        <v>0</v>
      </c>
      <c r="J153" s="56">
        <f t="shared" si="113"/>
        <v>0</v>
      </c>
      <c r="K153" s="109" t="e">
        <f t="shared" si="113"/>
        <v>#DIV/0!</v>
      </c>
      <c r="L153" s="109" t="e">
        <f t="shared" si="113"/>
        <v>#DIV/0!</v>
      </c>
      <c r="M153" s="56" t="e">
        <f>-M152/(M$58)</f>
        <v>#DIV/0!</v>
      </c>
      <c r="N153" s="56" t="e">
        <f>IF(N$1&lt;=#REF!,-N152/(N$58),"")</f>
        <v>#REF!</v>
      </c>
      <c r="O153" s="56" t="e">
        <f>IF(O$1&lt;=#REF!,-O152/(O$58),"")</f>
        <v>#REF!</v>
      </c>
      <c r="P153" s="56" t="e">
        <f>IF(P$1&lt;=#REF!,-P152/(P$58),"")</f>
        <v>#REF!</v>
      </c>
      <c r="Q153" s="56" t="e">
        <f>IF(Q$1&lt;=#REF!,-Q152/(Q$58),"")</f>
        <v>#REF!</v>
      </c>
      <c r="R153" s="56" t="e">
        <f>IF(R$1&lt;=#REF!,-R152/(R$58),"")</f>
        <v>#REF!</v>
      </c>
      <c r="S153" s="56" t="e">
        <f>IF(S$1&lt;=#REF!,-S152/(S$58),"")</f>
        <v>#REF!</v>
      </c>
      <c r="T153" s="56" t="e">
        <f>IF(T$1&lt;=#REF!,-T152/(T$58),"")</f>
        <v>#REF!</v>
      </c>
      <c r="U153" s="56" t="e">
        <f>IF(U$1&lt;=#REF!,-U152/(U$58),"")</f>
        <v>#REF!</v>
      </c>
      <c r="V153" s="56" t="e">
        <f>IF(V$1&lt;=#REF!,-V152/(V$58),"")</f>
        <v>#REF!</v>
      </c>
      <c r="W153" s="56" t="e">
        <f>IF(W$1&lt;=#REF!,-W152/(W$58),"")</f>
        <v>#REF!</v>
      </c>
      <c r="X153" s="56" t="e">
        <f>IF(X$1&lt;=#REF!,-X152/(X$58),"")</f>
        <v>#REF!</v>
      </c>
      <c r="Y153" s="56" t="e">
        <f>-Y152/(Y$58)</f>
        <v>#DIV/0!</v>
      </c>
      <c r="AA153" s="56" t="e">
        <f>-AA152/(AA$58)</f>
        <v>#REF!</v>
      </c>
      <c r="AB153" s="57"/>
      <c r="AD153" s="56" t="e">
        <f>-AD152/(AD$58)</f>
        <v>#REF!</v>
      </c>
      <c r="AE153" s="57"/>
    </row>
    <row r="154" spans="1:31" ht="6.95" customHeight="1" x14ac:dyDescent="0.2">
      <c r="C154" s="4"/>
      <c r="D154" s="4"/>
      <c r="F154" s="96"/>
      <c r="H154" s="16"/>
      <c r="I154" s="16"/>
      <c r="J154" s="16"/>
      <c r="K154" s="85"/>
      <c r="L154" s="85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AA154" s="16"/>
      <c r="AB154" s="20"/>
      <c r="AD154" s="16"/>
      <c r="AE154" s="20"/>
    </row>
    <row r="155" spans="1:31" ht="18" customHeight="1" x14ac:dyDescent="0.2">
      <c r="A155" s="30" t="s">
        <v>89</v>
      </c>
      <c r="B155" s="30" t="s">
        <v>18</v>
      </c>
      <c r="C155" s="4" t="e">
        <f t="shared" ref="C155:C183" si="114">IF(AND($Y155=0,AA155=0),0,IF(AA155=0,IF($Y155&gt;=0,AB155/$Y155,-AB155/$Y155),IF(AA155&gt;=0,AB155/AA155,-AB155/AA155)))</f>
        <v>#REF!</v>
      </c>
      <c r="D155" s="4" t="e">
        <f t="shared" ref="D155:D183" si="115">IF(AND($Y155=0,AD155=0),0,IF(AD155=0,IF($Y155&gt;=0,AE155/$Y155,-AE155/$Y155),IF(AD155&gt;=0,AE155/AD155,-AE155/AD155)))</f>
        <v>#REF!</v>
      </c>
      <c r="F155" s="106" t="s">
        <v>187</v>
      </c>
      <c r="H155" s="61">
        <f>_xll.GetCtData("PKAMOUNT","AMOUNT",$A$1:$A$3,$A155:$B155,H$3:H$5,"#")</f>
        <v>0</v>
      </c>
      <c r="I155" s="61">
        <f>_xll.GetCtData("PKAMOUNT","AMOUNT",$A$1:$A$3,$A155:$B155,I$3:I$5,"#")</f>
        <v>0</v>
      </c>
      <c r="J155" s="61">
        <f>_xll.GetCtData("PKAMOUNT","AMOUNT",$A$1:$A$3,$A155:$B155,J$3:J$5,"#")</f>
        <v>0</v>
      </c>
      <c r="K155" s="86">
        <f>_xll.GetCtData("PKAMOUNT","AMOUNT",$A$1:$A$3,$A155:$B155,K$3:K$5,"#")</f>
        <v>0</v>
      </c>
      <c r="L155" s="86">
        <f>_xll.GetCtData("PKAMOUNT","AMOUNT",$A$1:$A$3,$A155:$B155,L$3:L$5,"#")</f>
        <v>0</v>
      </c>
      <c r="M155" s="61">
        <f>_xll.GetCtData("PKAMOUNT","AMOUNT",$A$1:$A$3,$A155:$B155,M$3:M$5,"#")</f>
        <v>0</v>
      </c>
      <c r="N155" s="61" t="e">
        <f>IF(N$1&lt;=#REF!,_xll.GetCtData("PKAMOUNT","AMOUNT",$A$1:$A$3,$A155:$B155,N$3:N$5,"#")-SUM($M155:M155),0)</f>
        <v>#REF!</v>
      </c>
      <c r="O155" s="61" t="e">
        <f>IF(O$1&lt;=#REF!,_xll.GetCtData("PKAMOUNT","AMOUNT",$A$1:$A$3,$A155:$B155,O$3:O$5,"#")-SUM($M155:N155),0)</f>
        <v>#REF!</v>
      </c>
      <c r="P155" s="61" t="e">
        <f>IF(P$1&lt;=#REF!,_xll.GetCtData("PKAMOUNT","AMOUNT",$A$1:$A$3,$A155:$B155,P$3:P$5,"#")-SUM($M155:O155),0)</f>
        <v>#REF!</v>
      </c>
      <c r="Q155" s="61" t="e">
        <f>IF(Q$1&lt;=#REF!,_xll.GetCtData("PKAMOUNT","AMOUNT",$A$1:$A$3,$A155:$B155,Q$3:Q$5,"#")-SUM($M155:P155),0)</f>
        <v>#REF!</v>
      </c>
      <c r="R155" s="61" t="e">
        <f>IF(R$1&lt;=#REF!,_xll.GetCtData("PKAMOUNT","AMOUNT",$A$1:$A$3,$A155:$B155,R$3:R$5,"#")-SUM($M155:Q155),0)</f>
        <v>#REF!</v>
      </c>
      <c r="S155" s="61" t="e">
        <f>IF(S$1&lt;=#REF!,_xll.GetCtData("PKAMOUNT","AMOUNT",$A$1:$A$3,$A155:$B155,S$3:S$5,"#")-SUM($M155:R155),0)</f>
        <v>#REF!</v>
      </c>
      <c r="T155" s="61" t="e">
        <f>IF(T$1&lt;=#REF!,_xll.GetCtData("PKAMOUNT","AMOUNT",$A$1:$A$3,$A155:$B155,T$3:T$5,"#")-SUM($M155:S155),0)</f>
        <v>#REF!</v>
      </c>
      <c r="U155" s="61" t="e">
        <f>IF(U$1&lt;=#REF!,_xll.GetCtData("PKAMOUNT","AMOUNT",$A$1:$A$3,$A155:$B155,U$3:U$5,"#")-SUM($M155:T155),0)</f>
        <v>#REF!</v>
      </c>
      <c r="V155" s="61" t="e">
        <f>IF(V$1&lt;=#REF!,_xll.GetCtData("PKAMOUNT","AMOUNT",$A$1:$A$3,$A155:$B155,V$3:V$5,"#")-SUM($M155:U155),0)</f>
        <v>#REF!</v>
      </c>
      <c r="W155" s="61" t="e">
        <f>IF(W$1&lt;=#REF!,_xll.GetCtData("PKAMOUNT","AMOUNT",$A$1:$A$3,$A155:$B155,W$3:W$5,"#")-SUM($M155:V155),0)</f>
        <v>#REF!</v>
      </c>
      <c r="X155" s="61" t="e">
        <f>IF(X$1&lt;=#REF!,_xll.GetCtData("PKAMOUNT","AMOUNT",$A$1:$A$3,$A155:$B155,X$3:X$5,"#")-SUM($M155:W155),0)</f>
        <v>#REF!</v>
      </c>
      <c r="Y155" s="61">
        <f>_xll.GetCtData("PKAMOUNT","AMOUNT",$A$1:$A$3,$A155:$B155,Y$3:Y$5,"#")</f>
        <v>0</v>
      </c>
      <c r="AA155" s="61" t="e">
        <f>$K155*#REF!/12</f>
        <v>#REF!</v>
      </c>
      <c r="AB155" s="60" t="e">
        <f t="shared" ref="AB155:AB183" si="116">ROUND($Y155-AA155,2)</f>
        <v>#REF!</v>
      </c>
      <c r="AD155" s="61" t="e">
        <f>$L155*#REF!/12</f>
        <v>#REF!</v>
      </c>
      <c r="AE155" s="60" t="e">
        <f t="shared" ref="AE155:AE183" si="117">ROUND($Y155-AD155,2)</f>
        <v>#REF!</v>
      </c>
    </row>
    <row r="156" spans="1:31" ht="18" customHeight="1" x14ac:dyDescent="0.2">
      <c r="A156" s="30" t="s">
        <v>75</v>
      </c>
      <c r="B156" s="30" t="s">
        <v>18</v>
      </c>
      <c r="C156" s="4" t="e">
        <f t="shared" si="114"/>
        <v>#REF!</v>
      </c>
      <c r="D156" s="4" t="e">
        <f t="shared" si="115"/>
        <v>#REF!</v>
      </c>
      <c r="F156" s="106" t="s">
        <v>94</v>
      </c>
      <c r="H156" s="61">
        <f>_xll.GetCtData("PKAMOUNT","AMOUNT",$A$1:$A$3,$A156:$B156,H$3:H$5,"#")</f>
        <v>0</v>
      </c>
      <c r="I156" s="61">
        <f>_xll.GetCtData("PKAMOUNT","AMOUNT",$A$1:$A$3,$A156:$B156,I$3:I$5,"#")</f>
        <v>0</v>
      </c>
      <c r="J156" s="61">
        <f>_xll.GetCtData("PKAMOUNT","AMOUNT",$A$1:$A$3,$A156:$B156,J$3:J$5,"#")</f>
        <v>0</v>
      </c>
      <c r="K156" s="86">
        <f>_xll.GetCtData("PKAMOUNT","AMOUNT",$A$1:$A$3,$A156:$B156,K$3:K$5,"#")</f>
        <v>0</v>
      </c>
      <c r="L156" s="86">
        <f>_xll.GetCtData("PKAMOUNT","AMOUNT",$A$1:$A$3,$A156:$B156,L$3:L$5,"#")</f>
        <v>0</v>
      </c>
      <c r="M156" s="61">
        <f>_xll.GetCtData("PKAMOUNT","AMOUNT",$A$1:$A$3,$A156:$B156,M$3:M$5,"#")</f>
        <v>0</v>
      </c>
      <c r="N156" s="61" t="e">
        <f>IF(N$1&lt;=#REF!,_xll.GetCtData("PKAMOUNT","AMOUNT",$A$1:$A$3,$A156:$B156,N$3:N$5,"#")-SUM($M156:M156),0)</f>
        <v>#REF!</v>
      </c>
      <c r="O156" s="61" t="e">
        <f>IF(O$1&lt;=#REF!,_xll.GetCtData("PKAMOUNT","AMOUNT",$A$1:$A$3,$A156:$B156,O$3:O$5,"#")-SUM($M156:N156),0)</f>
        <v>#REF!</v>
      </c>
      <c r="P156" s="61" t="e">
        <f>IF(P$1&lt;=#REF!,_xll.GetCtData("PKAMOUNT","AMOUNT",$A$1:$A$3,$A156:$B156,P$3:P$5,"#")-SUM($M156:O156),0)</f>
        <v>#REF!</v>
      </c>
      <c r="Q156" s="61" t="e">
        <f>IF(Q$1&lt;=#REF!,_xll.GetCtData("PKAMOUNT","AMOUNT",$A$1:$A$3,$A156:$B156,Q$3:Q$5,"#")-SUM($M156:P156),0)</f>
        <v>#REF!</v>
      </c>
      <c r="R156" s="61" t="e">
        <f>IF(R$1&lt;=#REF!,_xll.GetCtData("PKAMOUNT","AMOUNT",$A$1:$A$3,$A156:$B156,R$3:R$5,"#")-SUM($M156:Q156),0)</f>
        <v>#REF!</v>
      </c>
      <c r="S156" s="61" t="e">
        <f>IF(S$1&lt;=#REF!,_xll.GetCtData("PKAMOUNT","AMOUNT",$A$1:$A$3,$A156:$B156,S$3:S$5,"#")-SUM($M156:R156),0)</f>
        <v>#REF!</v>
      </c>
      <c r="T156" s="61" t="e">
        <f>IF(T$1&lt;=#REF!,_xll.GetCtData("PKAMOUNT","AMOUNT",$A$1:$A$3,$A156:$B156,T$3:T$5,"#")-SUM($M156:S156),0)</f>
        <v>#REF!</v>
      </c>
      <c r="U156" s="61" t="e">
        <f>IF(U$1&lt;=#REF!,_xll.GetCtData("PKAMOUNT","AMOUNT",$A$1:$A$3,$A156:$B156,U$3:U$5,"#")-SUM($M156:T156),0)</f>
        <v>#REF!</v>
      </c>
      <c r="V156" s="61" t="e">
        <f>IF(V$1&lt;=#REF!,_xll.GetCtData("PKAMOUNT","AMOUNT",$A$1:$A$3,$A156:$B156,V$3:V$5,"#")-SUM($M156:U156),0)</f>
        <v>#REF!</v>
      </c>
      <c r="W156" s="61" t="e">
        <f>IF(W$1&lt;=#REF!,_xll.GetCtData("PKAMOUNT","AMOUNT",$A$1:$A$3,$A156:$B156,W$3:W$5,"#")-SUM($M156:V156),0)</f>
        <v>#REF!</v>
      </c>
      <c r="X156" s="61" t="e">
        <f>IF(X$1&lt;=#REF!,_xll.GetCtData("PKAMOUNT","AMOUNT",$A$1:$A$3,$A156:$B156,X$3:X$5,"#")-SUM($M156:W156),0)</f>
        <v>#REF!</v>
      </c>
      <c r="Y156" s="61">
        <f>_xll.GetCtData("PKAMOUNT","AMOUNT",$A$1:$A$3,$A156:$B156,Y$3:Y$5,"#")</f>
        <v>0</v>
      </c>
      <c r="AA156" s="61" t="e">
        <f>$K156*#REF!/12</f>
        <v>#REF!</v>
      </c>
      <c r="AB156" s="60" t="e">
        <f t="shared" si="116"/>
        <v>#REF!</v>
      </c>
      <c r="AD156" s="61" t="e">
        <f>$L156*#REF!/12</f>
        <v>#REF!</v>
      </c>
      <c r="AE156" s="60" t="e">
        <f t="shared" si="117"/>
        <v>#REF!</v>
      </c>
    </row>
    <row r="157" spans="1:31" ht="18" customHeight="1" x14ac:dyDescent="0.2">
      <c r="A157" s="30" t="s">
        <v>91</v>
      </c>
      <c r="B157" s="30" t="s">
        <v>18</v>
      </c>
      <c r="C157" s="4" t="e">
        <f t="shared" si="114"/>
        <v>#REF!</v>
      </c>
      <c r="D157" s="4" t="e">
        <f t="shared" si="115"/>
        <v>#REF!</v>
      </c>
      <c r="F157" s="106" t="s">
        <v>96</v>
      </c>
      <c r="H157" s="61">
        <f>_xll.GetCtData("PKAMOUNT","AMOUNT",$A$1:$A$3,$A157:$B157,H$3:H$5,"#")</f>
        <v>0</v>
      </c>
      <c r="I157" s="61">
        <f>_xll.GetCtData("PKAMOUNT","AMOUNT",$A$1:$A$3,$A157:$B157,I$3:I$5,"#")</f>
        <v>0</v>
      </c>
      <c r="J157" s="61">
        <f>_xll.GetCtData("PKAMOUNT","AMOUNT",$A$1:$A$3,$A157:$B157,J$3:J$5,"#")</f>
        <v>0</v>
      </c>
      <c r="K157" s="86">
        <f>_xll.GetCtData("PKAMOUNT","AMOUNT",$A$1:$A$3,$A157:$B157,K$3:K$5,"#")</f>
        <v>0</v>
      </c>
      <c r="L157" s="86">
        <f>_xll.GetCtData("PKAMOUNT","AMOUNT",$A$1:$A$3,$A157:$B157,L$3:L$5,"#")</f>
        <v>0</v>
      </c>
      <c r="M157" s="61">
        <f>_xll.GetCtData("PKAMOUNT","AMOUNT",$A$1:$A$3,$A157:$B157,M$3:M$5,"#")</f>
        <v>0</v>
      </c>
      <c r="N157" s="61" t="e">
        <f>IF(N$1&lt;=#REF!,_xll.GetCtData("PKAMOUNT","AMOUNT",$A$1:$A$3,$A157:$B157,N$3:N$5,"#")-SUM($M157:M157),0)</f>
        <v>#REF!</v>
      </c>
      <c r="O157" s="61" t="e">
        <f>IF(O$1&lt;=#REF!,_xll.GetCtData("PKAMOUNT","AMOUNT",$A$1:$A$3,$A157:$B157,O$3:O$5,"#")-SUM($M157:N157),0)</f>
        <v>#REF!</v>
      </c>
      <c r="P157" s="61" t="e">
        <f>IF(P$1&lt;=#REF!,_xll.GetCtData("PKAMOUNT","AMOUNT",$A$1:$A$3,$A157:$B157,P$3:P$5,"#")-SUM($M157:O157),0)</f>
        <v>#REF!</v>
      </c>
      <c r="Q157" s="61" t="e">
        <f>IF(Q$1&lt;=#REF!,_xll.GetCtData("PKAMOUNT","AMOUNT",$A$1:$A$3,$A157:$B157,Q$3:Q$5,"#")-SUM($M157:P157),0)</f>
        <v>#REF!</v>
      </c>
      <c r="R157" s="61" t="e">
        <f>IF(R$1&lt;=#REF!,_xll.GetCtData("PKAMOUNT","AMOUNT",$A$1:$A$3,$A157:$B157,R$3:R$5,"#")-SUM($M157:Q157),0)</f>
        <v>#REF!</v>
      </c>
      <c r="S157" s="61" t="e">
        <f>IF(S$1&lt;=#REF!,_xll.GetCtData("PKAMOUNT","AMOUNT",$A$1:$A$3,$A157:$B157,S$3:S$5,"#")-SUM($M157:R157),0)</f>
        <v>#REF!</v>
      </c>
      <c r="T157" s="61" t="e">
        <f>IF(T$1&lt;=#REF!,_xll.GetCtData("PKAMOUNT","AMOUNT",$A$1:$A$3,$A157:$B157,T$3:T$5,"#")-SUM($M157:S157),0)</f>
        <v>#REF!</v>
      </c>
      <c r="U157" s="61" t="e">
        <f>IF(U$1&lt;=#REF!,_xll.GetCtData("PKAMOUNT","AMOUNT",$A$1:$A$3,$A157:$B157,U$3:U$5,"#")-SUM($M157:T157),0)</f>
        <v>#REF!</v>
      </c>
      <c r="V157" s="61" t="e">
        <f>IF(V$1&lt;=#REF!,_xll.GetCtData("PKAMOUNT","AMOUNT",$A$1:$A$3,$A157:$B157,V$3:V$5,"#")-SUM($M157:U157),0)</f>
        <v>#REF!</v>
      </c>
      <c r="W157" s="61" t="e">
        <f>IF(W$1&lt;=#REF!,_xll.GetCtData("PKAMOUNT","AMOUNT",$A$1:$A$3,$A157:$B157,W$3:W$5,"#")-SUM($M157:V157),0)</f>
        <v>#REF!</v>
      </c>
      <c r="X157" s="61" t="e">
        <f>IF(X$1&lt;=#REF!,_xll.GetCtData("PKAMOUNT","AMOUNT",$A$1:$A$3,$A157:$B157,X$3:X$5,"#")-SUM($M157:W157),0)</f>
        <v>#REF!</v>
      </c>
      <c r="Y157" s="61">
        <f>_xll.GetCtData("PKAMOUNT","AMOUNT",$A$1:$A$3,$A157:$B157,Y$3:Y$5,"#")</f>
        <v>0</v>
      </c>
      <c r="AA157" s="61" t="e">
        <f>$K157*#REF!/12</f>
        <v>#REF!</v>
      </c>
      <c r="AB157" s="60" t="e">
        <f t="shared" si="116"/>
        <v>#REF!</v>
      </c>
      <c r="AD157" s="61" t="e">
        <f>$L157*#REF!/12</f>
        <v>#REF!</v>
      </c>
      <c r="AE157" s="60" t="e">
        <f t="shared" si="117"/>
        <v>#REF!</v>
      </c>
    </row>
    <row r="158" spans="1:31" ht="18" customHeight="1" x14ac:dyDescent="0.2">
      <c r="A158" s="30" t="s">
        <v>74</v>
      </c>
      <c r="B158" s="30" t="s">
        <v>18</v>
      </c>
      <c r="C158" s="4" t="e">
        <f t="shared" si="114"/>
        <v>#REF!</v>
      </c>
      <c r="D158" s="4" t="e">
        <f t="shared" si="115"/>
        <v>#REF!</v>
      </c>
      <c r="F158" s="106" t="s">
        <v>97</v>
      </c>
      <c r="H158" s="61">
        <f>_xll.GetCtData("PKAMOUNT","AMOUNT",$A$1:$A$3,$A158:$B158,H$3:H$5,"#-0,16")</f>
        <v>-0.16</v>
      </c>
      <c r="I158" s="61">
        <f>_xll.GetCtData("PKAMOUNT","AMOUNT",$A$1:$A$3,$A158:$B158,I$3:I$5,"#-0,28")</f>
        <v>-0.28000000000000003</v>
      </c>
      <c r="J158" s="61">
        <f>_xll.GetCtData("PKAMOUNT","AMOUNT",$A$1:$A$3,$A158:$B158,J$3:J$5,"#-0,28")</f>
        <v>-0.28000000000000003</v>
      </c>
      <c r="K158" s="86">
        <f>_xll.GetCtData("PKAMOUNT","AMOUNT",$A$1:$A$3,$A158:$B158,K$3:K$5,"#")</f>
        <v>0</v>
      </c>
      <c r="L158" s="86">
        <f>_xll.GetCtData("PKAMOUNT","AMOUNT",$A$1:$A$3,$A158:$B158,L$3:L$5,"#")</f>
        <v>0</v>
      </c>
      <c r="M158" s="61">
        <f>_xll.GetCtData("PKAMOUNT","AMOUNT",$A$1:$A$3,$A158:$B158,M$3:M$5,"#-0,017")</f>
        <v>-1.7000000000000001E-2</v>
      </c>
      <c r="N158" s="61" t="e">
        <f>IF(N$1&lt;=#REF!,_xll.GetCtData("PKAMOUNT","AMOUNT",$A$1:$A$3,$A158:$B158,N$3:N$5,"#-0,033")-SUM($M158:M158),0)</f>
        <v>#REF!</v>
      </c>
      <c r="O158" s="61" t="e">
        <f>IF(O$1&lt;=#REF!,_xll.GetCtData("PKAMOUNT","AMOUNT",$A$1:$A$3,$A158:$B158,O$3:O$5,"#-0,05")-SUM($M158:N158),0)</f>
        <v>#REF!</v>
      </c>
      <c r="P158" s="61" t="e">
        <f>IF(P$1&lt;=#REF!,_xll.GetCtData("PKAMOUNT","AMOUNT",$A$1:$A$3,$A158:$B158,P$3:P$5,"#-0,066")-SUM($M158:O158),0)</f>
        <v>#REF!</v>
      </c>
      <c r="Q158" s="61" t="e">
        <f>IF(Q$1&lt;=#REF!,_xll.GetCtData("PKAMOUNT","AMOUNT",$A$1:$A$3,$A158:$B158,Q$3:Q$5,"#-0,082")-SUM($M158:P158),0)</f>
        <v>#REF!</v>
      </c>
      <c r="R158" s="61" t="e">
        <f>IF(R$1&lt;=#REF!,_xll.GetCtData("PKAMOUNT","AMOUNT",$A$1:$A$3,$A158:$B158,R$3:R$5,"#-0,099")-SUM($M158:Q158),0)</f>
        <v>#REF!</v>
      </c>
      <c r="S158" s="61" t="e">
        <f>IF(S$1&lt;=#REF!,_xll.GetCtData("PKAMOUNT","AMOUNT",$A$1:$A$3,$A158:$B158,S$3:S$5,"#-0,121")-SUM($M158:R158),0)</f>
        <v>#REF!</v>
      </c>
      <c r="T158" s="61" t="e">
        <f>IF(T$1&lt;=#REF!,_xll.GetCtData("PKAMOUNT","AMOUNT",$A$1:$A$3,$A158:$B158,T$3:T$5,"#-0,141")-SUM($M158:S158),0)</f>
        <v>#REF!</v>
      </c>
      <c r="U158" s="61" t="e">
        <f>IF(U$1&lt;=#REF!,_xll.GetCtData("PKAMOUNT","AMOUNT",$A$1:$A$3,$A158:$B158,U$3:U$5,"#-0,162")-SUM($M158:T158),0)</f>
        <v>#REF!</v>
      </c>
      <c r="V158" s="61" t="e">
        <f>IF(V$1&lt;=#REF!,_xll.GetCtData("PKAMOUNT","AMOUNT",$A$1:$A$3,$A158:$B158,V$3:V$5,"#-0,182")-SUM($M158:U158),0)</f>
        <v>#REF!</v>
      </c>
      <c r="W158" s="61" t="e">
        <f>IF(W$1&lt;=#REF!,_xll.GetCtData("PKAMOUNT","AMOUNT",$A$1:$A$3,$A158:$B158,W$3:W$5,"#-0,202")-SUM($M158:V158),0)</f>
        <v>#REF!</v>
      </c>
      <c r="X158" s="61" t="e">
        <f>IF(X$1&lt;=#REF!,_xll.GetCtData("PKAMOUNT","AMOUNT",$A$1:$A$3,$A158:$B158,X$3:X$5,"#-0,187")-SUM($M158:W158),0)</f>
        <v>#REF!</v>
      </c>
      <c r="Y158" s="61">
        <f>_xll.GetCtData("PKAMOUNT","AMOUNT",$A$1:$A$3,$A158:$B158,Y$3:Y$5,"#-0,187")</f>
        <v>-0.187</v>
      </c>
      <c r="AA158" s="61" t="e">
        <f>$K158*#REF!/12</f>
        <v>#REF!</v>
      </c>
      <c r="AB158" s="60" t="e">
        <f t="shared" si="116"/>
        <v>#REF!</v>
      </c>
      <c r="AD158" s="61" t="e">
        <f>$L158*#REF!/12</f>
        <v>#REF!</v>
      </c>
      <c r="AE158" s="60" t="e">
        <f t="shared" si="117"/>
        <v>#REF!</v>
      </c>
    </row>
    <row r="159" spans="1:31" ht="18" customHeight="1" x14ac:dyDescent="0.2">
      <c r="A159" s="30" t="s">
        <v>92</v>
      </c>
      <c r="B159" s="30" t="s">
        <v>18</v>
      </c>
      <c r="C159" s="4" t="e">
        <f t="shared" si="114"/>
        <v>#REF!</v>
      </c>
      <c r="D159" s="4" t="e">
        <f t="shared" si="115"/>
        <v>#REF!</v>
      </c>
      <c r="F159" s="106" t="s">
        <v>98</v>
      </c>
      <c r="H159" s="61">
        <f>_xll.GetCtData("PKAMOUNT","AMOUNT",$A$1:$A$3,$A159:$B159,H$3:H$5,"#-0,072")</f>
        <v>-7.1999999999999995E-2</v>
      </c>
      <c r="I159" s="61">
        <f>_xll.GetCtData("PKAMOUNT","AMOUNT",$A$1:$A$3,$A159:$B159,I$3:I$5,"#")</f>
        <v>0</v>
      </c>
      <c r="J159" s="61">
        <f>_xll.GetCtData("PKAMOUNT","AMOUNT",$A$1:$A$3,$A159:$B159,J$3:J$5,"#")</f>
        <v>0</v>
      </c>
      <c r="K159" s="86">
        <f>_xll.GetCtData("PKAMOUNT","AMOUNT",$A$1:$A$3,$A159:$B159,K$3:K$5,"#")</f>
        <v>0</v>
      </c>
      <c r="L159" s="86">
        <f>_xll.GetCtData("PKAMOUNT","AMOUNT",$A$1:$A$3,$A159:$B159,L$3:L$5,"#")</f>
        <v>0</v>
      </c>
      <c r="M159" s="61">
        <f>_xll.GetCtData("PKAMOUNT","AMOUNT",$A$1:$A$3,$A159:$B159,M$3:M$5,"#")</f>
        <v>0</v>
      </c>
      <c r="N159" s="61" t="e">
        <f>IF(N$1&lt;=#REF!,_xll.GetCtData("PKAMOUNT","AMOUNT",$A$1:$A$3,$A159:$B159,N$3:N$5,"#")-SUM($M159:M159),0)</f>
        <v>#REF!</v>
      </c>
      <c r="O159" s="61" t="e">
        <f>IF(O$1&lt;=#REF!,_xll.GetCtData("PKAMOUNT","AMOUNT",$A$1:$A$3,$A159:$B159,O$3:O$5,"#")-SUM($M159:N159),0)</f>
        <v>#REF!</v>
      </c>
      <c r="P159" s="61" t="e">
        <f>IF(P$1&lt;=#REF!,_xll.GetCtData("PKAMOUNT","AMOUNT",$A$1:$A$3,$A159:$B159,P$3:P$5,"#")-SUM($M159:O159),0)</f>
        <v>#REF!</v>
      </c>
      <c r="Q159" s="61" t="e">
        <f>IF(Q$1&lt;=#REF!,_xll.GetCtData("PKAMOUNT","AMOUNT",$A$1:$A$3,$A159:$B159,Q$3:Q$5,"#")-SUM($M159:P159),0)</f>
        <v>#REF!</v>
      </c>
      <c r="R159" s="61" t="e">
        <f>IF(R$1&lt;=#REF!,_xll.GetCtData("PKAMOUNT","AMOUNT",$A$1:$A$3,$A159:$B159,R$3:R$5,"#")-SUM($M159:Q159),0)</f>
        <v>#REF!</v>
      </c>
      <c r="S159" s="61" t="e">
        <f>IF(S$1&lt;=#REF!,_xll.GetCtData("PKAMOUNT","AMOUNT",$A$1:$A$3,$A159:$B159,S$3:S$5,"#")-SUM($M159:R159),0)</f>
        <v>#REF!</v>
      </c>
      <c r="T159" s="61" t="e">
        <f>IF(T$1&lt;=#REF!,_xll.GetCtData("PKAMOUNT","AMOUNT",$A$1:$A$3,$A159:$B159,T$3:T$5,"#")-SUM($M159:S159),0)</f>
        <v>#REF!</v>
      </c>
      <c r="U159" s="61" t="e">
        <f>IF(U$1&lt;=#REF!,_xll.GetCtData("PKAMOUNT","AMOUNT",$A$1:$A$3,$A159:$B159,U$3:U$5,"#")-SUM($M159:T159),0)</f>
        <v>#REF!</v>
      </c>
      <c r="V159" s="61" t="e">
        <f>IF(V$1&lt;=#REF!,_xll.GetCtData("PKAMOUNT","AMOUNT",$A$1:$A$3,$A159:$B159,V$3:V$5,"#")-SUM($M159:U159),0)</f>
        <v>#REF!</v>
      </c>
      <c r="W159" s="61" t="e">
        <f>IF(W$1&lt;=#REF!,_xll.GetCtData("PKAMOUNT","AMOUNT",$A$1:$A$3,$A159:$B159,W$3:W$5,"#")-SUM($M159:V159),0)</f>
        <v>#REF!</v>
      </c>
      <c r="X159" s="61" t="e">
        <f>IF(X$1&lt;=#REF!,_xll.GetCtData("PKAMOUNT","AMOUNT",$A$1:$A$3,$A159:$B159,X$3:X$5,"#")-SUM($M159:W159),0)</f>
        <v>#REF!</v>
      </c>
      <c r="Y159" s="61">
        <f>_xll.GetCtData("PKAMOUNT","AMOUNT",$A$1:$A$3,$A159:$B159,Y$3:Y$5,"#")</f>
        <v>0</v>
      </c>
      <c r="AA159" s="61" t="e">
        <f>$K159*#REF!/12</f>
        <v>#REF!</v>
      </c>
      <c r="AB159" s="60" t="e">
        <f t="shared" si="116"/>
        <v>#REF!</v>
      </c>
      <c r="AD159" s="61" t="e">
        <f>$L159*#REF!/12</f>
        <v>#REF!</v>
      </c>
      <c r="AE159" s="60" t="e">
        <f t="shared" si="117"/>
        <v>#REF!</v>
      </c>
    </row>
    <row r="160" spans="1:31" ht="18" customHeight="1" x14ac:dyDescent="0.2">
      <c r="A160" s="30" t="s">
        <v>125</v>
      </c>
      <c r="B160" s="30" t="s">
        <v>18</v>
      </c>
      <c r="C160" s="4" t="e">
        <f t="shared" si="114"/>
        <v>#REF!</v>
      </c>
      <c r="D160" s="4" t="e">
        <f t="shared" si="115"/>
        <v>#REF!</v>
      </c>
      <c r="F160" s="106" t="s">
        <v>126</v>
      </c>
      <c r="H160" s="61">
        <f>_xll.GetCtData("PKAMOUNT","AMOUNT",$A$1:$A$3,$A160:$B160,H$3:H$5,"#")</f>
        <v>0</v>
      </c>
      <c r="I160" s="61">
        <f>_xll.GetCtData("PKAMOUNT","AMOUNT",$A$1:$A$3,$A160:$B160,I$3:I$5,"#-0,184")</f>
        <v>-0.184</v>
      </c>
      <c r="J160" s="61">
        <f>_xll.GetCtData("PKAMOUNT","AMOUNT",$A$1:$A$3,$A160:$B160,J$3:J$5,"#-0,184")</f>
        <v>-0.184</v>
      </c>
      <c r="K160" s="86">
        <f>_xll.GetCtData("PKAMOUNT","AMOUNT",$A$1:$A$3,$A160:$B160,K$3:K$5,"#")</f>
        <v>0</v>
      </c>
      <c r="L160" s="86">
        <f>_xll.GetCtData("PKAMOUNT","AMOUNT",$A$1:$A$3,$A160:$B160,L$3:L$5,"#")</f>
        <v>0</v>
      </c>
      <c r="M160" s="61">
        <f>_xll.GetCtData("PKAMOUNT","AMOUNT",$A$1:$A$3,$A160:$B160,M$3:M$5,"#")</f>
        <v>0</v>
      </c>
      <c r="N160" s="61" t="e">
        <f>IF(N$1&lt;=#REF!,_xll.GetCtData("PKAMOUNT","AMOUNT",$A$1:$A$3,$A160:$B160,N$3:N$5,"#")-SUM($M160:M160),0)</f>
        <v>#REF!</v>
      </c>
      <c r="O160" s="61" t="e">
        <f>IF(O$1&lt;=#REF!,_xll.GetCtData("PKAMOUNT","AMOUNT",$A$1:$A$3,$A160:$B160,O$3:O$5,"#")-SUM($M160:N160),0)</f>
        <v>#REF!</v>
      </c>
      <c r="P160" s="61" t="e">
        <f>IF(P$1&lt;=#REF!,_xll.GetCtData("PKAMOUNT","AMOUNT",$A$1:$A$3,$A160:$B160,P$3:P$5,"#")-SUM($M160:O160),0)</f>
        <v>#REF!</v>
      </c>
      <c r="Q160" s="61" t="e">
        <f>IF(Q$1&lt;=#REF!,_xll.GetCtData("PKAMOUNT","AMOUNT",$A$1:$A$3,$A160:$B160,Q$3:Q$5,"#")-SUM($M160:P160),0)</f>
        <v>#REF!</v>
      </c>
      <c r="R160" s="61" t="e">
        <f>IF(R$1&lt;=#REF!,_xll.GetCtData("PKAMOUNT","AMOUNT",$A$1:$A$3,$A160:$B160,R$3:R$5,"#")-SUM($M160:Q160),0)</f>
        <v>#REF!</v>
      </c>
      <c r="S160" s="61" t="e">
        <f>IF(S$1&lt;=#REF!,_xll.GetCtData("PKAMOUNT","AMOUNT",$A$1:$A$3,$A160:$B160,S$3:S$5,"#")-SUM($M160:R160),0)</f>
        <v>#REF!</v>
      </c>
      <c r="T160" s="61" t="e">
        <f>IF(T$1&lt;=#REF!,_xll.GetCtData("PKAMOUNT","AMOUNT",$A$1:$A$3,$A160:$B160,T$3:T$5,"#")-SUM($M160:S160),0)</f>
        <v>#REF!</v>
      </c>
      <c r="U160" s="61" t="e">
        <f>IF(U$1&lt;=#REF!,_xll.GetCtData("PKAMOUNT","AMOUNT",$A$1:$A$3,$A160:$B160,U$3:U$5,"#")-SUM($M160:T160),0)</f>
        <v>#REF!</v>
      </c>
      <c r="V160" s="61" t="e">
        <f>IF(V$1&lt;=#REF!,_xll.GetCtData("PKAMOUNT","AMOUNT",$A$1:$A$3,$A160:$B160,V$3:V$5,"#")-SUM($M160:U160),0)</f>
        <v>#REF!</v>
      </c>
      <c r="W160" s="61" t="e">
        <f>IF(W$1&lt;=#REF!,_xll.GetCtData("PKAMOUNT","AMOUNT",$A$1:$A$3,$A160:$B160,W$3:W$5,"#")-SUM($M160:V160),0)</f>
        <v>#REF!</v>
      </c>
      <c r="X160" s="61" t="e">
        <f>IF(X$1&lt;=#REF!,_xll.GetCtData("PKAMOUNT","AMOUNT",$A$1:$A$3,$A160:$B160,X$3:X$5,"#")-SUM($M160:W160),0)</f>
        <v>#REF!</v>
      </c>
      <c r="Y160" s="61">
        <f>_xll.GetCtData("PKAMOUNT","AMOUNT",$A$1:$A$3,$A160:$B160,Y$3:Y$5,"#")</f>
        <v>0</v>
      </c>
      <c r="AA160" s="61" t="e">
        <f>$K160*#REF!/12</f>
        <v>#REF!</v>
      </c>
      <c r="AB160" s="60" t="e">
        <f t="shared" si="116"/>
        <v>#REF!</v>
      </c>
      <c r="AD160" s="61" t="e">
        <f>$L160*#REF!/12</f>
        <v>#REF!</v>
      </c>
      <c r="AE160" s="60" t="e">
        <f t="shared" si="117"/>
        <v>#REF!</v>
      </c>
    </row>
    <row r="161" spans="1:31" ht="18" hidden="1" customHeight="1" outlineLevel="1" x14ac:dyDescent="0.2">
      <c r="A161" s="30" t="s">
        <v>73</v>
      </c>
      <c r="B161" s="30" t="s">
        <v>18</v>
      </c>
      <c r="C161" s="4" t="e">
        <f t="shared" si="114"/>
        <v>#REF!</v>
      </c>
      <c r="D161" s="4" t="e">
        <f t="shared" si="115"/>
        <v>#REF!</v>
      </c>
      <c r="F161" s="38" t="s">
        <v>72</v>
      </c>
      <c r="G161" s="34"/>
      <c r="H161" s="66">
        <f>_xll.GetCtData("PKAMOUNT","AMOUNT",$A$1:$A$3,$A161:$B161,H$3:H$5,"#")</f>
        <v>0</v>
      </c>
      <c r="I161" s="66">
        <f>_xll.GetCtData("PKAMOUNT","AMOUNT",$A$1:$A$3,$A161:$B161,I$3:I$5,"#")</f>
        <v>0</v>
      </c>
      <c r="J161" s="66">
        <f>_xll.GetCtData("PKAMOUNT","AMOUNT",$A$1:$A$3,$A161:$B161,J$3:J$5,"#")</f>
        <v>0</v>
      </c>
      <c r="K161" s="86">
        <f>_xll.GetCtData("PKAMOUNT","AMOUNT",$A$1:$A$3,$A161:$B161,K$3:K$5,"#")</f>
        <v>0</v>
      </c>
      <c r="L161" s="86">
        <f>_xll.GetCtData("PKAMOUNT","AMOUNT",$A$1:$A$3,$A161:$B161,L$3:L$5,"#")</f>
        <v>0</v>
      </c>
      <c r="M161" s="66">
        <f>_xll.GetCtData("PKAMOUNT","AMOUNT",$A$1:$A$3,$A161:$B161,M$3:M$5,"#")</f>
        <v>0</v>
      </c>
      <c r="N161" s="66" t="e">
        <f>IF(N$1&lt;=#REF!,_xll.GetCtData("PKAMOUNT","AMOUNT",$A$1:$A$3,$A161:$B161,N$3:N$5,"#")-SUM($M161:M161),0)</f>
        <v>#REF!</v>
      </c>
      <c r="O161" s="66" t="e">
        <f>IF(O$1&lt;=#REF!,_xll.GetCtData("PKAMOUNT","AMOUNT",$A$1:$A$3,$A161:$B161,O$3:O$5,"#")-SUM($M161:N161),0)</f>
        <v>#REF!</v>
      </c>
      <c r="P161" s="66" t="e">
        <f>IF(P$1&lt;=#REF!,_xll.GetCtData("PKAMOUNT","AMOUNT",$A$1:$A$3,$A161:$B161,P$3:P$5,"#")-SUM($M161:O161),0)</f>
        <v>#REF!</v>
      </c>
      <c r="Q161" s="66" t="e">
        <f>IF(Q$1&lt;=#REF!,_xll.GetCtData("PKAMOUNT","AMOUNT",$A$1:$A$3,$A161:$B161,Q$3:Q$5,"#")-SUM($M161:P161),0)</f>
        <v>#REF!</v>
      </c>
      <c r="R161" s="66" t="e">
        <f>IF(R$1&lt;=#REF!,_xll.GetCtData("PKAMOUNT","AMOUNT",$A$1:$A$3,$A161:$B161,R$3:R$5,"#")-SUM($M161:Q161),0)</f>
        <v>#REF!</v>
      </c>
      <c r="S161" s="66" t="e">
        <f>IF(S$1&lt;=#REF!,_xll.GetCtData("PKAMOUNT","AMOUNT",$A$1:$A$3,$A161:$B161,S$3:S$5,"#")-SUM($M161:R161),0)</f>
        <v>#REF!</v>
      </c>
      <c r="T161" s="66" t="e">
        <f>IF(T$1&lt;=#REF!,_xll.GetCtData("PKAMOUNT","AMOUNT",$A$1:$A$3,$A161:$B161,T$3:T$5,"#")-SUM($M161:S161),0)</f>
        <v>#REF!</v>
      </c>
      <c r="U161" s="66" t="e">
        <f>IF(U$1&lt;=#REF!,_xll.GetCtData("PKAMOUNT","AMOUNT",$A$1:$A$3,$A161:$B161,U$3:U$5,"#")-SUM($M161:T161),0)</f>
        <v>#REF!</v>
      </c>
      <c r="V161" s="66" t="e">
        <f>IF(V$1&lt;=#REF!,_xll.GetCtData("PKAMOUNT","AMOUNT",$A$1:$A$3,$A161:$B161,V$3:V$5,"#")-SUM($M161:U161),0)</f>
        <v>#REF!</v>
      </c>
      <c r="W161" s="66" t="e">
        <f>IF(W$1&lt;=#REF!,_xll.GetCtData("PKAMOUNT","AMOUNT",$A$1:$A$3,$A161:$B161,W$3:W$5,"#")-SUM($M161:V161),0)</f>
        <v>#REF!</v>
      </c>
      <c r="X161" s="66" t="e">
        <f>IF(X$1&lt;=#REF!,_xll.GetCtData("PKAMOUNT","AMOUNT",$A$1:$A$3,$A161:$B161,X$3:X$5,"#")-SUM($M161:W161),0)</f>
        <v>#REF!</v>
      </c>
      <c r="Y161" s="66">
        <f>_xll.GetCtData("PKAMOUNT","AMOUNT",$A$1:$A$3,$A161:$B161,Y$3:Y$5,"#")</f>
        <v>0</v>
      </c>
      <c r="Z161" s="34"/>
      <c r="AA161" s="66" t="e">
        <f>$K161*#REF!/12</f>
        <v>#REF!</v>
      </c>
      <c r="AB161" s="60" t="e">
        <f t="shared" si="116"/>
        <v>#REF!</v>
      </c>
      <c r="AC161" s="34"/>
      <c r="AD161" s="66" t="e">
        <f>$L161*#REF!/12</f>
        <v>#REF!</v>
      </c>
      <c r="AE161" s="60" t="e">
        <f t="shared" si="117"/>
        <v>#REF!</v>
      </c>
    </row>
    <row r="162" spans="1:31" ht="18" hidden="1" customHeight="1" outlineLevel="1" x14ac:dyDescent="0.2">
      <c r="A162" s="30" t="s">
        <v>129</v>
      </c>
      <c r="B162" s="30" t="s">
        <v>18</v>
      </c>
      <c r="C162" s="4" t="e">
        <f t="shared" si="114"/>
        <v>#REF!</v>
      </c>
      <c r="D162" s="4" t="e">
        <f t="shared" si="115"/>
        <v>#REF!</v>
      </c>
      <c r="F162" s="38" t="s">
        <v>190</v>
      </c>
      <c r="G162" s="34"/>
      <c r="H162" s="66">
        <f>_xll.GetCtData("PKAMOUNT","AMOUNT",$A$1:$A$3,$A162:$B162,H$3:H$5,"#")</f>
        <v>0</v>
      </c>
      <c r="I162" s="66">
        <f>_xll.GetCtData("PKAMOUNT","AMOUNT",$A$1:$A$3,$A162:$B162,I$3:I$5,"#")</f>
        <v>0</v>
      </c>
      <c r="J162" s="66">
        <f>_xll.GetCtData("PKAMOUNT","AMOUNT",$A$1:$A$3,$A162:$B162,J$3:J$5,"#")</f>
        <v>0</v>
      </c>
      <c r="K162" s="86">
        <f>_xll.GetCtData("PKAMOUNT","AMOUNT",$A$1:$A$3,$A162:$B162,K$3:K$5,"#")</f>
        <v>0</v>
      </c>
      <c r="L162" s="86">
        <f>_xll.GetCtData("PKAMOUNT","AMOUNT",$A$1:$A$3,$A162:$B162,L$3:L$5,"#")</f>
        <v>0</v>
      </c>
      <c r="M162" s="66">
        <f>_xll.GetCtData("PKAMOUNT","AMOUNT",$A$1:$A$3,$A162:$B162,M$3:M$5,"#")</f>
        <v>0</v>
      </c>
      <c r="N162" s="66" t="e">
        <f>IF(N$1&lt;=#REF!,_xll.GetCtData("PKAMOUNT","AMOUNT",$A$1:$A$3,$A162:$B162,N$3:N$5,"#")-SUM($M162:M162),0)</f>
        <v>#REF!</v>
      </c>
      <c r="O162" s="66" t="e">
        <f>IF(O$1&lt;=#REF!,_xll.GetCtData("PKAMOUNT","AMOUNT",$A$1:$A$3,$A162:$B162,O$3:O$5,"#")-SUM($M162:N162),0)</f>
        <v>#REF!</v>
      </c>
      <c r="P162" s="66" t="e">
        <f>IF(P$1&lt;=#REF!,_xll.GetCtData("PKAMOUNT","AMOUNT",$A$1:$A$3,$A162:$B162,P$3:P$5,"#")-SUM($M162:O162),0)</f>
        <v>#REF!</v>
      </c>
      <c r="Q162" s="66" t="e">
        <f>IF(Q$1&lt;=#REF!,_xll.GetCtData("PKAMOUNT","AMOUNT",$A$1:$A$3,$A162:$B162,Q$3:Q$5,"#")-SUM($M162:P162),0)</f>
        <v>#REF!</v>
      </c>
      <c r="R162" s="66" t="e">
        <f>IF(R$1&lt;=#REF!,_xll.GetCtData("PKAMOUNT","AMOUNT",$A$1:$A$3,$A162:$B162,R$3:R$5,"#")-SUM($M162:Q162),0)</f>
        <v>#REF!</v>
      </c>
      <c r="S162" s="66" t="e">
        <f>IF(S$1&lt;=#REF!,_xll.GetCtData("PKAMOUNT","AMOUNT",$A$1:$A$3,$A162:$B162,S$3:S$5,"#")-SUM($M162:R162),0)</f>
        <v>#REF!</v>
      </c>
      <c r="T162" s="66" t="e">
        <f>IF(T$1&lt;=#REF!,_xll.GetCtData("PKAMOUNT","AMOUNT",$A$1:$A$3,$A162:$B162,T$3:T$5,"#")-SUM($M162:S162),0)</f>
        <v>#REF!</v>
      </c>
      <c r="U162" s="66" t="e">
        <f>IF(U$1&lt;=#REF!,_xll.GetCtData("PKAMOUNT","AMOUNT",$A$1:$A$3,$A162:$B162,U$3:U$5,"#")-SUM($M162:T162),0)</f>
        <v>#REF!</v>
      </c>
      <c r="V162" s="66" t="e">
        <f>IF(V$1&lt;=#REF!,_xll.GetCtData("PKAMOUNT","AMOUNT",$A$1:$A$3,$A162:$B162,V$3:V$5,"#")-SUM($M162:U162),0)</f>
        <v>#REF!</v>
      </c>
      <c r="W162" s="66" t="e">
        <f>IF(W$1&lt;=#REF!,_xll.GetCtData("PKAMOUNT","AMOUNT",$A$1:$A$3,$A162:$B162,W$3:W$5,"#")-SUM($M162:V162),0)</f>
        <v>#REF!</v>
      </c>
      <c r="X162" s="66" t="e">
        <f>IF(X$1&lt;=#REF!,_xll.GetCtData("PKAMOUNT","AMOUNT",$A$1:$A$3,$A162:$B162,X$3:X$5,"#")-SUM($M162:W162),0)</f>
        <v>#REF!</v>
      </c>
      <c r="Y162" s="66">
        <f>_xll.GetCtData("PKAMOUNT","AMOUNT",$A$1:$A$3,$A162:$B162,Y$3:Y$5,"#")</f>
        <v>0</v>
      </c>
      <c r="Z162" s="34"/>
      <c r="AA162" s="66" t="e">
        <f>$K162*#REF!/12</f>
        <v>#REF!</v>
      </c>
      <c r="AB162" s="60" t="e">
        <f t="shared" si="116"/>
        <v>#REF!</v>
      </c>
      <c r="AC162" s="34"/>
      <c r="AD162" s="66" t="e">
        <f>$L162*#REF!/12</f>
        <v>#REF!</v>
      </c>
      <c r="AE162" s="60" t="e">
        <f t="shared" si="117"/>
        <v>#REF!</v>
      </c>
    </row>
    <row r="163" spans="1:31" ht="18" hidden="1" customHeight="1" outlineLevel="1" x14ac:dyDescent="0.2">
      <c r="A163" s="30" t="s">
        <v>172</v>
      </c>
      <c r="B163" s="30" t="s">
        <v>18</v>
      </c>
      <c r="C163" s="4" t="e">
        <f t="shared" si="114"/>
        <v>#REF!</v>
      </c>
      <c r="D163" s="4" t="e">
        <f t="shared" si="115"/>
        <v>#REF!</v>
      </c>
      <c r="F163" s="38" t="s">
        <v>173</v>
      </c>
      <c r="G163" s="34"/>
      <c r="H163" s="66">
        <f>_xll.GetCtData("PKAMOUNT","AMOUNT",$A$1:$A$3,$A163:$B163,H$3:H$5,"#")</f>
        <v>0</v>
      </c>
      <c r="I163" s="66">
        <f>_xll.GetCtData("PKAMOUNT","AMOUNT",$A$1:$A$3,$A163:$B163,I$3:I$5,"#")</f>
        <v>0</v>
      </c>
      <c r="J163" s="66">
        <f>_xll.GetCtData("PKAMOUNT","AMOUNT",$A$1:$A$3,$A163:$B163,J$3:J$5,"#")</f>
        <v>0</v>
      </c>
      <c r="K163" s="86">
        <f>_xll.GetCtData("PKAMOUNT","AMOUNT",$A$1:$A$3,$A163:$B163,K$3:K$5,"#")</f>
        <v>0</v>
      </c>
      <c r="L163" s="86">
        <f>_xll.GetCtData("PKAMOUNT","AMOUNT",$A$1:$A$3,$A163:$B163,L$3:L$5,"#")</f>
        <v>0</v>
      </c>
      <c r="M163" s="66">
        <f>_xll.GetCtData("PKAMOUNT","AMOUNT",$A$1:$A$3,$A163:$B163,M$3:M$5,"#")</f>
        <v>0</v>
      </c>
      <c r="N163" s="66" t="e">
        <f>IF(N$1&lt;=#REF!,_xll.GetCtData("PKAMOUNT","AMOUNT",$A$1:$A$3,$A163:$B163,N$3:N$5,"#")-SUM($M163:M163),0)</f>
        <v>#REF!</v>
      </c>
      <c r="O163" s="66" t="e">
        <f>IF(O$1&lt;=#REF!,_xll.GetCtData("PKAMOUNT","AMOUNT",$A$1:$A$3,$A163:$B163,O$3:O$5,"#")-SUM($M163:N163),0)</f>
        <v>#REF!</v>
      </c>
      <c r="P163" s="66" t="e">
        <f>IF(P$1&lt;=#REF!,_xll.GetCtData("PKAMOUNT","AMOUNT",$A$1:$A$3,$A163:$B163,P$3:P$5,"#")-SUM($M163:O163),0)</f>
        <v>#REF!</v>
      </c>
      <c r="Q163" s="66" t="e">
        <f>IF(Q$1&lt;=#REF!,_xll.GetCtData("PKAMOUNT","AMOUNT",$A$1:$A$3,$A163:$B163,Q$3:Q$5,"#")-SUM($M163:P163),0)</f>
        <v>#REF!</v>
      </c>
      <c r="R163" s="66" t="e">
        <f>IF(R$1&lt;=#REF!,_xll.GetCtData("PKAMOUNT","AMOUNT",$A$1:$A$3,$A163:$B163,R$3:R$5,"#")-SUM($M163:Q163),0)</f>
        <v>#REF!</v>
      </c>
      <c r="S163" s="66" t="e">
        <f>IF(S$1&lt;=#REF!,_xll.GetCtData("PKAMOUNT","AMOUNT",$A$1:$A$3,$A163:$B163,S$3:S$5,"#")-SUM($M163:R163),0)</f>
        <v>#REF!</v>
      </c>
      <c r="T163" s="66" t="e">
        <f>IF(T$1&lt;=#REF!,_xll.GetCtData("PKAMOUNT","AMOUNT",$A$1:$A$3,$A163:$B163,T$3:T$5,"#")-SUM($M163:S163),0)</f>
        <v>#REF!</v>
      </c>
      <c r="U163" s="66" t="e">
        <f>IF(U$1&lt;=#REF!,_xll.GetCtData("PKAMOUNT","AMOUNT",$A$1:$A$3,$A163:$B163,U$3:U$5,"#")-SUM($M163:T163),0)</f>
        <v>#REF!</v>
      </c>
      <c r="V163" s="66" t="e">
        <f>IF(V$1&lt;=#REF!,_xll.GetCtData("PKAMOUNT","AMOUNT",$A$1:$A$3,$A163:$B163,V$3:V$5,"#")-SUM($M163:U163),0)</f>
        <v>#REF!</v>
      </c>
      <c r="W163" s="66" t="e">
        <f>IF(W$1&lt;=#REF!,_xll.GetCtData("PKAMOUNT","AMOUNT",$A$1:$A$3,$A163:$B163,W$3:W$5,"#")-SUM($M163:V163),0)</f>
        <v>#REF!</v>
      </c>
      <c r="X163" s="66" t="e">
        <f>IF(X$1&lt;=#REF!,_xll.GetCtData("PKAMOUNT","AMOUNT",$A$1:$A$3,$A163:$B163,X$3:X$5,"#")-SUM($M163:W163),0)</f>
        <v>#REF!</v>
      </c>
      <c r="Y163" s="66">
        <f>_xll.GetCtData("PKAMOUNT","AMOUNT",$A$1:$A$3,$A163:$B163,Y$3:Y$5,"#")</f>
        <v>0</v>
      </c>
      <c r="Z163" s="34"/>
      <c r="AA163" s="66" t="e">
        <f>$K163*#REF!/12</f>
        <v>#REF!</v>
      </c>
      <c r="AB163" s="60" t="e">
        <f t="shared" si="116"/>
        <v>#REF!</v>
      </c>
      <c r="AC163" s="34"/>
      <c r="AD163" s="66" t="e">
        <f>$L163*#REF!/12</f>
        <v>#REF!</v>
      </c>
      <c r="AE163" s="60" t="e">
        <f t="shared" si="117"/>
        <v>#REF!</v>
      </c>
    </row>
    <row r="164" spans="1:31" ht="18" hidden="1" customHeight="1" outlineLevel="1" x14ac:dyDescent="0.2">
      <c r="A164" s="30" t="s">
        <v>88</v>
      </c>
      <c r="B164" s="30" t="s">
        <v>18</v>
      </c>
      <c r="C164" s="4" t="e">
        <f t="shared" si="114"/>
        <v>#REF!</v>
      </c>
      <c r="D164" s="4" t="e">
        <f t="shared" si="115"/>
        <v>#REF!</v>
      </c>
      <c r="F164" s="38" t="s">
        <v>93</v>
      </c>
      <c r="G164" s="34"/>
      <c r="H164" s="66">
        <f>_xll.GetCtData("PKAMOUNT","AMOUNT",$A$1:$A$3,$A164:$B164,H$3:H$5,"#")</f>
        <v>0</v>
      </c>
      <c r="I164" s="66">
        <f>_xll.GetCtData("PKAMOUNT","AMOUNT",$A$1:$A$3,$A164:$B164,I$3:I$5,"#")</f>
        <v>0</v>
      </c>
      <c r="J164" s="66">
        <f>_xll.GetCtData("PKAMOUNT","AMOUNT",$A$1:$A$3,$A164:$B164,J$3:J$5,"#")</f>
        <v>0</v>
      </c>
      <c r="K164" s="86">
        <f>_xll.GetCtData("PKAMOUNT","AMOUNT",$A$1:$A$3,$A164:$B164,K$3:K$5,"#")</f>
        <v>0</v>
      </c>
      <c r="L164" s="86">
        <f>_xll.GetCtData("PKAMOUNT","AMOUNT",$A$1:$A$3,$A164:$B164,L$3:L$5,"#")</f>
        <v>0</v>
      </c>
      <c r="M164" s="66">
        <f>_xll.GetCtData("PKAMOUNT","AMOUNT",$A$1:$A$3,$A164:$B164,M$3:M$5,"#")</f>
        <v>0</v>
      </c>
      <c r="N164" s="66" t="e">
        <f>IF(N$1&lt;=#REF!,_xll.GetCtData("PKAMOUNT","AMOUNT",$A$1:$A$3,$A164:$B164,N$3:N$5,"#")-SUM($M164:M164),0)</f>
        <v>#REF!</v>
      </c>
      <c r="O164" s="66" t="e">
        <f>IF(O$1&lt;=#REF!,_xll.GetCtData("PKAMOUNT","AMOUNT",$A$1:$A$3,$A164:$B164,O$3:O$5,"#")-SUM($M164:N164),0)</f>
        <v>#REF!</v>
      </c>
      <c r="P164" s="66" t="e">
        <f>IF(P$1&lt;=#REF!,_xll.GetCtData("PKAMOUNT","AMOUNT",$A$1:$A$3,$A164:$B164,P$3:P$5,"#")-SUM($M164:O164),0)</f>
        <v>#REF!</v>
      </c>
      <c r="Q164" s="66" t="e">
        <f>IF(Q$1&lt;=#REF!,_xll.GetCtData("PKAMOUNT","AMOUNT",$A$1:$A$3,$A164:$B164,Q$3:Q$5,"#")-SUM($M164:P164),0)</f>
        <v>#REF!</v>
      </c>
      <c r="R164" s="66" t="e">
        <f>IF(R$1&lt;=#REF!,_xll.GetCtData("PKAMOUNT","AMOUNT",$A$1:$A$3,$A164:$B164,R$3:R$5,"#")-SUM($M164:Q164),0)</f>
        <v>#REF!</v>
      </c>
      <c r="S164" s="66" t="e">
        <f>IF(S$1&lt;=#REF!,_xll.GetCtData("PKAMOUNT","AMOUNT",$A$1:$A$3,$A164:$B164,S$3:S$5,"#")-SUM($M164:R164),0)</f>
        <v>#REF!</v>
      </c>
      <c r="T164" s="66" t="e">
        <f>IF(T$1&lt;=#REF!,_xll.GetCtData("PKAMOUNT","AMOUNT",$A$1:$A$3,$A164:$B164,T$3:T$5,"#")-SUM($M164:S164),0)</f>
        <v>#REF!</v>
      </c>
      <c r="U164" s="66" t="e">
        <f>IF(U$1&lt;=#REF!,_xll.GetCtData("PKAMOUNT","AMOUNT",$A$1:$A$3,$A164:$B164,U$3:U$5,"#")-SUM($M164:T164),0)</f>
        <v>#REF!</v>
      </c>
      <c r="V164" s="66" t="e">
        <f>IF(V$1&lt;=#REF!,_xll.GetCtData("PKAMOUNT","AMOUNT",$A$1:$A$3,$A164:$B164,V$3:V$5,"#")-SUM($M164:U164),0)</f>
        <v>#REF!</v>
      </c>
      <c r="W164" s="66" t="e">
        <f>IF(W$1&lt;=#REF!,_xll.GetCtData("PKAMOUNT","AMOUNT",$A$1:$A$3,$A164:$B164,W$3:W$5,"#")-SUM($M164:V164),0)</f>
        <v>#REF!</v>
      </c>
      <c r="X164" s="66" t="e">
        <f>IF(X$1&lt;=#REF!,_xll.GetCtData("PKAMOUNT","AMOUNT",$A$1:$A$3,$A164:$B164,X$3:X$5,"#")-SUM($M164:W164),0)</f>
        <v>#REF!</v>
      </c>
      <c r="Y164" s="66">
        <f>_xll.GetCtData("PKAMOUNT","AMOUNT",$A$1:$A$3,$A164:$B164,Y$3:Y$5,"#")</f>
        <v>0</v>
      </c>
      <c r="Z164" s="34"/>
      <c r="AA164" s="66" t="e">
        <f>$K164*#REF!/12</f>
        <v>#REF!</v>
      </c>
      <c r="AB164" s="60" t="e">
        <f t="shared" si="116"/>
        <v>#REF!</v>
      </c>
      <c r="AC164" s="34"/>
      <c r="AD164" s="66" t="e">
        <f>$L164*#REF!/12</f>
        <v>#REF!</v>
      </c>
      <c r="AE164" s="60" t="e">
        <f t="shared" si="117"/>
        <v>#REF!</v>
      </c>
    </row>
    <row r="165" spans="1:31" ht="18" hidden="1" customHeight="1" outlineLevel="1" x14ac:dyDescent="0.2">
      <c r="A165" s="30" t="s">
        <v>174</v>
      </c>
      <c r="B165" s="30" t="s">
        <v>18</v>
      </c>
      <c r="C165" s="4" t="e">
        <f t="shared" si="114"/>
        <v>#REF!</v>
      </c>
      <c r="D165" s="4" t="e">
        <f t="shared" si="115"/>
        <v>#REF!</v>
      </c>
      <c r="F165" s="38" t="s">
        <v>175</v>
      </c>
      <c r="G165" s="34"/>
      <c r="H165" s="66">
        <f>_xll.GetCtData("PKAMOUNT","AMOUNT",$A$1:$A$3,$A165:$B165,H$3:H$5,"#")</f>
        <v>0</v>
      </c>
      <c r="I165" s="66">
        <f>_xll.GetCtData("PKAMOUNT","AMOUNT",$A$1:$A$3,$A165:$B165,I$3:I$5,"#")</f>
        <v>0</v>
      </c>
      <c r="J165" s="66">
        <f>_xll.GetCtData("PKAMOUNT","AMOUNT",$A$1:$A$3,$A165:$B165,J$3:J$5,"#")</f>
        <v>0</v>
      </c>
      <c r="K165" s="86">
        <f>_xll.GetCtData("PKAMOUNT","AMOUNT",$A$1:$A$3,$A165:$B165,K$3:K$5,"#")</f>
        <v>0</v>
      </c>
      <c r="L165" s="86">
        <f>_xll.GetCtData("PKAMOUNT","AMOUNT",$A$1:$A$3,$A165:$B165,L$3:L$5,"#")</f>
        <v>0</v>
      </c>
      <c r="M165" s="66">
        <f>_xll.GetCtData("PKAMOUNT","AMOUNT",$A$1:$A$3,$A165:$B165,M$3:M$5,"#")</f>
        <v>0</v>
      </c>
      <c r="N165" s="66" t="e">
        <f>IF(N$1&lt;=#REF!,_xll.GetCtData("PKAMOUNT","AMOUNT",$A$1:$A$3,$A165:$B165,N$3:N$5,"#")-SUM($M165:M165),0)</f>
        <v>#REF!</v>
      </c>
      <c r="O165" s="66" t="e">
        <f>IF(O$1&lt;=#REF!,_xll.GetCtData("PKAMOUNT","AMOUNT",$A$1:$A$3,$A165:$B165,O$3:O$5,"#")-SUM($M165:N165),0)</f>
        <v>#REF!</v>
      </c>
      <c r="P165" s="66" t="e">
        <f>IF(P$1&lt;=#REF!,_xll.GetCtData("PKAMOUNT","AMOUNT",$A$1:$A$3,$A165:$B165,P$3:P$5,"#")-SUM($M165:O165),0)</f>
        <v>#REF!</v>
      </c>
      <c r="Q165" s="66" t="e">
        <f>IF(Q$1&lt;=#REF!,_xll.GetCtData("PKAMOUNT","AMOUNT",$A$1:$A$3,$A165:$B165,Q$3:Q$5,"#")-SUM($M165:P165),0)</f>
        <v>#REF!</v>
      </c>
      <c r="R165" s="66" t="e">
        <f>IF(R$1&lt;=#REF!,_xll.GetCtData("PKAMOUNT","AMOUNT",$A$1:$A$3,$A165:$B165,R$3:R$5,"#")-SUM($M165:Q165),0)</f>
        <v>#REF!</v>
      </c>
      <c r="S165" s="66" t="e">
        <f>IF(S$1&lt;=#REF!,_xll.GetCtData("PKAMOUNT","AMOUNT",$A$1:$A$3,$A165:$B165,S$3:S$5,"#")-SUM($M165:R165),0)</f>
        <v>#REF!</v>
      </c>
      <c r="T165" s="66" t="e">
        <f>IF(T$1&lt;=#REF!,_xll.GetCtData("PKAMOUNT","AMOUNT",$A$1:$A$3,$A165:$B165,T$3:T$5,"#")-SUM($M165:S165),0)</f>
        <v>#REF!</v>
      </c>
      <c r="U165" s="66" t="e">
        <f>IF(U$1&lt;=#REF!,_xll.GetCtData("PKAMOUNT","AMOUNT",$A$1:$A$3,$A165:$B165,U$3:U$5,"#")-SUM($M165:T165),0)</f>
        <v>#REF!</v>
      </c>
      <c r="V165" s="66" t="e">
        <f>IF(V$1&lt;=#REF!,_xll.GetCtData("PKAMOUNT","AMOUNT",$A$1:$A$3,$A165:$B165,V$3:V$5,"#")-SUM($M165:U165),0)</f>
        <v>#REF!</v>
      </c>
      <c r="W165" s="66" t="e">
        <f>IF(W$1&lt;=#REF!,_xll.GetCtData("PKAMOUNT","AMOUNT",$A$1:$A$3,$A165:$B165,W$3:W$5,"#")-SUM($M165:V165),0)</f>
        <v>#REF!</v>
      </c>
      <c r="X165" s="66" t="e">
        <f>IF(X$1&lt;=#REF!,_xll.GetCtData("PKAMOUNT","AMOUNT",$A$1:$A$3,$A165:$B165,X$3:X$5,"#")-SUM($M165:W165),0)</f>
        <v>#REF!</v>
      </c>
      <c r="Y165" s="66">
        <f>_xll.GetCtData("PKAMOUNT","AMOUNT",$A$1:$A$3,$A165:$B165,Y$3:Y$5,"#")</f>
        <v>0</v>
      </c>
      <c r="Z165" s="34"/>
      <c r="AA165" s="66" t="e">
        <f>$K165*#REF!/12</f>
        <v>#REF!</v>
      </c>
      <c r="AB165" s="60" t="e">
        <f t="shared" si="116"/>
        <v>#REF!</v>
      </c>
      <c r="AC165" s="34"/>
      <c r="AD165" s="66" t="e">
        <f>$L165*#REF!/12</f>
        <v>#REF!</v>
      </c>
      <c r="AE165" s="60" t="e">
        <f t="shared" si="117"/>
        <v>#REF!</v>
      </c>
    </row>
    <row r="166" spans="1:31" ht="18" hidden="1" customHeight="1" outlineLevel="1" x14ac:dyDescent="0.2">
      <c r="A166" s="30" t="s">
        <v>130</v>
      </c>
      <c r="B166" s="30" t="s">
        <v>18</v>
      </c>
      <c r="C166" s="4" t="e">
        <f t="shared" si="114"/>
        <v>#REF!</v>
      </c>
      <c r="D166" s="4" t="e">
        <f t="shared" si="115"/>
        <v>#REF!</v>
      </c>
      <c r="F166" s="38" t="s">
        <v>176</v>
      </c>
      <c r="G166" s="34"/>
      <c r="H166" s="66">
        <f>_xll.GetCtData("PKAMOUNT","AMOUNT",$A$1:$A$3,$A166:$B166,H$3:H$5,"#")</f>
        <v>0</v>
      </c>
      <c r="I166" s="66">
        <f>_xll.GetCtData("PKAMOUNT","AMOUNT",$A$1:$A$3,$A166:$B166,I$3:I$5,"#")</f>
        <v>0</v>
      </c>
      <c r="J166" s="66">
        <f>_xll.GetCtData("PKAMOUNT","AMOUNT",$A$1:$A$3,$A166:$B166,J$3:J$5,"#")</f>
        <v>0</v>
      </c>
      <c r="K166" s="86">
        <f>_xll.GetCtData("PKAMOUNT","AMOUNT",$A$1:$A$3,$A166:$B166,K$3:K$5,"#")</f>
        <v>0</v>
      </c>
      <c r="L166" s="86">
        <f>_xll.GetCtData("PKAMOUNT","AMOUNT",$A$1:$A$3,$A166:$B166,L$3:L$5,"#")</f>
        <v>0</v>
      </c>
      <c r="M166" s="66">
        <f>_xll.GetCtData("PKAMOUNT","AMOUNT",$A$1:$A$3,$A166:$B166,M$3:M$5,"#")</f>
        <v>0</v>
      </c>
      <c r="N166" s="66" t="e">
        <f>IF(N$1&lt;=#REF!,_xll.GetCtData("PKAMOUNT","AMOUNT",$A$1:$A$3,$A166:$B166,N$3:N$5,"#")-SUM($M166:M166),0)</f>
        <v>#REF!</v>
      </c>
      <c r="O166" s="66" t="e">
        <f>IF(O$1&lt;=#REF!,_xll.GetCtData("PKAMOUNT","AMOUNT",$A$1:$A$3,$A166:$B166,O$3:O$5,"#")-SUM($M166:N166),0)</f>
        <v>#REF!</v>
      </c>
      <c r="P166" s="66" t="e">
        <f>IF(P$1&lt;=#REF!,_xll.GetCtData("PKAMOUNT","AMOUNT",$A$1:$A$3,$A166:$B166,P$3:P$5,"#")-SUM($M166:O166),0)</f>
        <v>#REF!</v>
      </c>
      <c r="Q166" s="66" t="e">
        <f>IF(Q$1&lt;=#REF!,_xll.GetCtData("PKAMOUNT","AMOUNT",$A$1:$A$3,$A166:$B166,Q$3:Q$5,"#")-SUM($M166:P166),0)</f>
        <v>#REF!</v>
      </c>
      <c r="R166" s="66" t="e">
        <f>IF(R$1&lt;=#REF!,_xll.GetCtData("PKAMOUNT","AMOUNT",$A$1:$A$3,$A166:$B166,R$3:R$5,"#")-SUM($M166:Q166),0)</f>
        <v>#REF!</v>
      </c>
      <c r="S166" s="66" t="e">
        <f>IF(S$1&lt;=#REF!,_xll.GetCtData("PKAMOUNT","AMOUNT",$A$1:$A$3,$A166:$B166,S$3:S$5,"#")-SUM($M166:R166),0)</f>
        <v>#REF!</v>
      </c>
      <c r="T166" s="66" t="e">
        <f>IF(T$1&lt;=#REF!,_xll.GetCtData("PKAMOUNT","AMOUNT",$A$1:$A$3,$A166:$B166,T$3:T$5,"#")-SUM($M166:S166),0)</f>
        <v>#REF!</v>
      </c>
      <c r="U166" s="66" t="e">
        <f>IF(U$1&lt;=#REF!,_xll.GetCtData("PKAMOUNT","AMOUNT",$A$1:$A$3,$A166:$B166,U$3:U$5,"#")-SUM($M166:T166),0)</f>
        <v>#REF!</v>
      </c>
      <c r="V166" s="66" t="e">
        <f>IF(V$1&lt;=#REF!,_xll.GetCtData("PKAMOUNT","AMOUNT",$A$1:$A$3,$A166:$B166,V$3:V$5,"#")-SUM($M166:U166),0)</f>
        <v>#REF!</v>
      </c>
      <c r="W166" s="66" t="e">
        <f>IF(W$1&lt;=#REF!,_xll.GetCtData("PKAMOUNT","AMOUNT",$A$1:$A$3,$A166:$B166,W$3:W$5,"#")-SUM($M166:V166),0)</f>
        <v>#REF!</v>
      </c>
      <c r="X166" s="66" t="e">
        <f>IF(X$1&lt;=#REF!,_xll.GetCtData("PKAMOUNT","AMOUNT",$A$1:$A$3,$A166:$B166,X$3:X$5,"#")-SUM($M166:W166),0)</f>
        <v>#REF!</v>
      </c>
      <c r="Y166" s="66">
        <f>_xll.GetCtData("PKAMOUNT","AMOUNT",$A$1:$A$3,$A166:$B166,Y$3:Y$5,"#")</f>
        <v>0</v>
      </c>
      <c r="Z166" s="34"/>
      <c r="AA166" s="66" t="e">
        <f>$K166*#REF!/12</f>
        <v>#REF!</v>
      </c>
      <c r="AB166" s="60" t="e">
        <f t="shared" si="116"/>
        <v>#REF!</v>
      </c>
      <c r="AC166" s="34"/>
      <c r="AD166" s="66" t="e">
        <f>$L166*#REF!/12</f>
        <v>#REF!</v>
      </c>
      <c r="AE166" s="60" t="e">
        <f t="shared" si="117"/>
        <v>#REF!</v>
      </c>
    </row>
    <row r="167" spans="1:31" ht="18" hidden="1" customHeight="1" outlineLevel="1" x14ac:dyDescent="0.2">
      <c r="A167" s="30" t="s">
        <v>177</v>
      </c>
      <c r="B167" s="30" t="s">
        <v>18</v>
      </c>
      <c r="C167" s="4" t="e">
        <f t="shared" si="114"/>
        <v>#REF!</v>
      </c>
      <c r="D167" s="4" t="e">
        <f t="shared" si="115"/>
        <v>#REF!</v>
      </c>
      <c r="F167" s="38" t="s">
        <v>178</v>
      </c>
      <c r="G167" s="34"/>
      <c r="H167" s="66">
        <f>_xll.GetCtData("PKAMOUNT","AMOUNT",$A$1:$A$3,$A167:$B167,H$3:H$5,"#")</f>
        <v>0</v>
      </c>
      <c r="I167" s="66">
        <f>_xll.GetCtData("PKAMOUNT","AMOUNT",$A$1:$A$3,$A167:$B167,I$3:I$5,"#")</f>
        <v>0</v>
      </c>
      <c r="J167" s="66">
        <f>_xll.GetCtData("PKAMOUNT","AMOUNT",$A$1:$A$3,$A167:$B167,J$3:J$5,"#")</f>
        <v>0</v>
      </c>
      <c r="K167" s="86">
        <f>_xll.GetCtData("PKAMOUNT","AMOUNT",$A$1:$A$3,$A167:$B167,K$3:K$5,"#")</f>
        <v>0</v>
      </c>
      <c r="L167" s="86">
        <f>_xll.GetCtData("PKAMOUNT","AMOUNT",$A$1:$A$3,$A167:$B167,L$3:L$5,"#")</f>
        <v>0</v>
      </c>
      <c r="M167" s="66">
        <f>_xll.GetCtData("PKAMOUNT","AMOUNT",$A$1:$A$3,$A167:$B167,M$3:M$5,"#")</f>
        <v>0</v>
      </c>
      <c r="N167" s="66" t="e">
        <f>IF(N$1&lt;=#REF!,_xll.GetCtData("PKAMOUNT","AMOUNT",$A$1:$A$3,$A167:$B167,N$3:N$5,"#")-SUM($M167:M167),0)</f>
        <v>#REF!</v>
      </c>
      <c r="O167" s="66" t="e">
        <f>IF(O$1&lt;=#REF!,_xll.GetCtData("PKAMOUNT","AMOUNT",$A$1:$A$3,$A167:$B167,O$3:O$5,"#")-SUM($M167:N167),0)</f>
        <v>#REF!</v>
      </c>
      <c r="P167" s="66" t="e">
        <f>IF(P$1&lt;=#REF!,_xll.GetCtData("PKAMOUNT","AMOUNT",$A$1:$A$3,$A167:$B167,P$3:P$5,"#")-SUM($M167:O167),0)</f>
        <v>#REF!</v>
      </c>
      <c r="Q167" s="66" t="e">
        <f>IF(Q$1&lt;=#REF!,_xll.GetCtData("PKAMOUNT","AMOUNT",$A$1:$A$3,$A167:$B167,Q$3:Q$5,"#")-SUM($M167:P167),0)</f>
        <v>#REF!</v>
      </c>
      <c r="R167" s="66" t="e">
        <f>IF(R$1&lt;=#REF!,_xll.GetCtData("PKAMOUNT","AMOUNT",$A$1:$A$3,$A167:$B167,R$3:R$5,"#")-SUM($M167:Q167),0)</f>
        <v>#REF!</v>
      </c>
      <c r="S167" s="66" t="e">
        <f>IF(S$1&lt;=#REF!,_xll.GetCtData("PKAMOUNT","AMOUNT",$A$1:$A$3,$A167:$B167,S$3:S$5,"#")-SUM($M167:R167),0)</f>
        <v>#REF!</v>
      </c>
      <c r="T167" s="66" t="e">
        <f>IF(T$1&lt;=#REF!,_xll.GetCtData("PKAMOUNT","AMOUNT",$A$1:$A$3,$A167:$B167,T$3:T$5,"#")-SUM($M167:S167),0)</f>
        <v>#REF!</v>
      </c>
      <c r="U167" s="66" t="e">
        <f>IF(U$1&lt;=#REF!,_xll.GetCtData("PKAMOUNT","AMOUNT",$A$1:$A$3,$A167:$B167,U$3:U$5,"#")-SUM($M167:T167),0)</f>
        <v>#REF!</v>
      </c>
      <c r="V167" s="66" t="e">
        <f>IF(V$1&lt;=#REF!,_xll.GetCtData("PKAMOUNT","AMOUNT",$A$1:$A$3,$A167:$B167,V$3:V$5,"#")-SUM($M167:U167),0)</f>
        <v>#REF!</v>
      </c>
      <c r="W167" s="66" t="e">
        <f>IF(W$1&lt;=#REF!,_xll.GetCtData("PKAMOUNT","AMOUNT",$A$1:$A$3,$A167:$B167,W$3:W$5,"#")-SUM($M167:V167),0)</f>
        <v>#REF!</v>
      </c>
      <c r="X167" s="66" t="e">
        <f>IF(X$1&lt;=#REF!,_xll.GetCtData("PKAMOUNT","AMOUNT",$A$1:$A$3,$A167:$B167,X$3:X$5,"#")-SUM($M167:W167),0)</f>
        <v>#REF!</v>
      </c>
      <c r="Y167" s="66">
        <f>_xll.GetCtData("PKAMOUNT","AMOUNT",$A$1:$A$3,$A167:$B167,Y$3:Y$5,"#")</f>
        <v>0</v>
      </c>
      <c r="Z167" s="34"/>
      <c r="AA167" s="66" t="e">
        <f>$K167*#REF!/12</f>
        <v>#REF!</v>
      </c>
      <c r="AB167" s="60" t="e">
        <f t="shared" si="116"/>
        <v>#REF!</v>
      </c>
      <c r="AC167" s="34"/>
      <c r="AD167" s="66" t="e">
        <f>$L167*#REF!/12</f>
        <v>#REF!</v>
      </c>
      <c r="AE167" s="60" t="e">
        <f t="shared" si="117"/>
        <v>#REF!</v>
      </c>
    </row>
    <row r="168" spans="1:31" ht="18" hidden="1" customHeight="1" outlineLevel="1" x14ac:dyDescent="0.2">
      <c r="A168" s="30" t="s">
        <v>179</v>
      </c>
      <c r="B168" s="30" t="s">
        <v>18</v>
      </c>
      <c r="C168" s="4" t="e">
        <f t="shared" si="114"/>
        <v>#REF!</v>
      </c>
      <c r="D168" s="4" t="e">
        <f t="shared" si="115"/>
        <v>#REF!</v>
      </c>
      <c r="F168" s="38" t="s">
        <v>180</v>
      </c>
      <c r="G168" s="34"/>
      <c r="H168" s="66">
        <f>_xll.GetCtData("PKAMOUNT","AMOUNT",$A$1:$A$3,$A168:$B168,H$3:H$5,"#")</f>
        <v>0</v>
      </c>
      <c r="I168" s="66">
        <f>_xll.GetCtData("PKAMOUNT","AMOUNT",$A$1:$A$3,$A168:$B168,I$3:I$5,"#")</f>
        <v>0</v>
      </c>
      <c r="J168" s="66">
        <f>_xll.GetCtData("PKAMOUNT","AMOUNT",$A$1:$A$3,$A168:$B168,J$3:J$5,"#")</f>
        <v>0</v>
      </c>
      <c r="K168" s="86">
        <f>_xll.GetCtData("PKAMOUNT","AMOUNT",$A$1:$A$3,$A168:$B168,K$3:K$5,"#")</f>
        <v>0</v>
      </c>
      <c r="L168" s="86">
        <f>_xll.GetCtData("PKAMOUNT","AMOUNT",$A$1:$A$3,$A168:$B168,L$3:L$5,"#")</f>
        <v>0</v>
      </c>
      <c r="M168" s="66">
        <f>_xll.GetCtData("PKAMOUNT","AMOUNT",$A$1:$A$3,$A168:$B168,M$3:M$5,"#")</f>
        <v>0</v>
      </c>
      <c r="N168" s="66" t="e">
        <f>IF(N$1&lt;=#REF!,_xll.GetCtData("PKAMOUNT","AMOUNT",$A$1:$A$3,$A168:$B168,N$3:N$5,"#")-SUM($M168:M168),0)</f>
        <v>#REF!</v>
      </c>
      <c r="O168" s="66" t="e">
        <f>IF(O$1&lt;=#REF!,_xll.GetCtData("PKAMOUNT","AMOUNT",$A$1:$A$3,$A168:$B168,O$3:O$5,"#")-SUM($M168:N168),0)</f>
        <v>#REF!</v>
      </c>
      <c r="P168" s="66" t="e">
        <f>IF(P$1&lt;=#REF!,_xll.GetCtData("PKAMOUNT","AMOUNT",$A$1:$A$3,$A168:$B168,P$3:P$5,"#")-SUM($M168:O168),0)</f>
        <v>#REF!</v>
      </c>
      <c r="Q168" s="66" t="e">
        <f>IF(Q$1&lt;=#REF!,_xll.GetCtData("PKAMOUNT","AMOUNT",$A$1:$A$3,$A168:$B168,Q$3:Q$5,"#")-SUM($M168:P168),0)</f>
        <v>#REF!</v>
      </c>
      <c r="R168" s="66" t="e">
        <f>IF(R$1&lt;=#REF!,_xll.GetCtData("PKAMOUNT","AMOUNT",$A$1:$A$3,$A168:$B168,R$3:R$5,"#")-SUM($M168:Q168),0)</f>
        <v>#REF!</v>
      </c>
      <c r="S168" s="66" t="e">
        <f>IF(S$1&lt;=#REF!,_xll.GetCtData("PKAMOUNT","AMOUNT",$A$1:$A$3,$A168:$B168,S$3:S$5,"#")-SUM($M168:R168),0)</f>
        <v>#REF!</v>
      </c>
      <c r="T168" s="66" t="e">
        <f>IF(T$1&lt;=#REF!,_xll.GetCtData("PKAMOUNT","AMOUNT",$A$1:$A$3,$A168:$B168,T$3:T$5,"#")-SUM($M168:S168),0)</f>
        <v>#REF!</v>
      </c>
      <c r="U168" s="66" t="e">
        <f>IF(U$1&lt;=#REF!,_xll.GetCtData("PKAMOUNT","AMOUNT",$A$1:$A$3,$A168:$B168,U$3:U$5,"#")-SUM($M168:T168),0)</f>
        <v>#REF!</v>
      </c>
      <c r="V168" s="66" t="e">
        <f>IF(V$1&lt;=#REF!,_xll.GetCtData("PKAMOUNT","AMOUNT",$A$1:$A$3,$A168:$B168,V$3:V$5,"#")-SUM($M168:U168),0)</f>
        <v>#REF!</v>
      </c>
      <c r="W168" s="66" t="e">
        <f>IF(W$1&lt;=#REF!,_xll.GetCtData("PKAMOUNT","AMOUNT",$A$1:$A$3,$A168:$B168,W$3:W$5,"#")-SUM($M168:V168),0)</f>
        <v>#REF!</v>
      </c>
      <c r="X168" s="66" t="e">
        <f>IF(X$1&lt;=#REF!,_xll.GetCtData("PKAMOUNT","AMOUNT",$A$1:$A$3,$A168:$B168,X$3:X$5,"#")-SUM($M168:W168),0)</f>
        <v>#REF!</v>
      </c>
      <c r="Y168" s="66">
        <f>_xll.GetCtData("PKAMOUNT","AMOUNT",$A$1:$A$3,$A168:$B168,Y$3:Y$5,"#")</f>
        <v>0</v>
      </c>
      <c r="Z168" s="34"/>
      <c r="AA168" s="66" t="e">
        <f>$K168*#REF!/12</f>
        <v>#REF!</v>
      </c>
      <c r="AB168" s="60" t="e">
        <f t="shared" si="116"/>
        <v>#REF!</v>
      </c>
      <c r="AC168" s="34"/>
      <c r="AD168" s="66" t="e">
        <f>$L168*#REF!/12</f>
        <v>#REF!</v>
      </c>
      <c r="AE168" s="60" t="e">
        <f t="shared" si="117"/>
        <v>#REF!</v>
      </c>
    </row>
    <row r="169" spans="1:31" ht="18" hidden="1" customHeight="1" outlineLevel="1" x14ac:dyDescent="0.2">
      <c r="A169" s="30" t="s">
        <v>78</v>
      </c>
      <c r="B169" s="30" t="s">
        <v>18</v>
      </c>
      <c r="C169" s="4" t="e">
        <f t="shared" si="114"/>
        <v>#REF!</v>
      </c>
      <c r="D169" s="4" t="e">
        <f t="shared" si="115"/>
        <v>#REF!</v>
      </c>
      <c r="F169" s="38" t="s">
        <v>77</v>
      </c>
      <c r="G169" s="34"/>
      <c r="H169" s="66">
        <f>_xll.GetCtData("PKAMOUNT","AMOUNT",$A$1:$A$3,$A169:$B169,H$3:H$5,"#")</f>
        <v>0</v>
      </c>
      <c r="I169" s="66">
        <f>_xll.GetCtData("PKAMOUNT","AMOUNT",$A$1:$A$3,$A169:$B169,I$3:I$5,"#")</f>
        <v>0</v>
      </c>
      <c r="J169" s="66">
        <f>_xll.GetCtData("PKAMOUNT","AMOUNT",$A$1:$A$3,$A169:$B169,J$3:J$5,"#")</f>
        <v>0</v>
      </c>
      <c r="K169" s="86">
        <f>_xll.GetCtData("PKAMOUNT","AMOUNT",$A$1:$A$3,$A169:$B169,K$3:K$5,"#")</f>
        <v>0</v>
      </c>
      <c r="L169" s="86">
        <f>_xll.GetCtData("PKAMOUNT","AMOUNT",$A$1:$A$3,$A169:$B169,L$3:L$5,"#")</f>
        <v>0</v>
      </c>
      <c r="M169" s="66">
        <f>_xll.GetCtData("PKAMOUNT","AMOUNT",$A$1:$A$3,$A169:$B169,M$3:M$5,"#")</f>
        <v>0</v>
      </c>
      <c r="N169" s="66" t="e">
        <f>IF(N$1&lt;=#REF!,_xll.GetCtData("PKAMOUNT","AMOUNT",$A$1:$A$3,$A169:$B169,N$3:N$5,"#")-SUM($M169:M169),0)</f>
        <v>#REF!</v>
      </c>
      <c r="O169" s="66" t="e">
        <f>IF(O$1&lt;=#REF!,_xll.GetCtData("PKAMOUNT","AMOUNT",$A$1:$A$3,$A169:$B169,O$3:O$5,"#")-SUM($M169:N169),0)</f>
        <v>#REF!</v>
      </c>
      <c r="P169" s="66" t="e">
        <f>IF(P$1&lt;=#REF!,_xll.GetCtData("PKAMOUNT","AMOUNT",$A$1:$A$3,$A169:$B169,P$3:P$5,"#")-SUM($M169:O169),0)</f>
        <v>#REF!</v>
      </c>
      <c r="Q169" s="66" t="e">
        <f>IF(Q$1&lt;=#REF!,_xll.GetCtData("PKAMOUNT","AMOUNT",$A$1:$A$3,$A169:$B169,Q$3:Q$5,"#")-SUM($M169:P169),0)</f>
        <v>#REF!</v>
      </c>
      <c r="R169" s="66" t="e">
        <f>IF(R$1&lt;=#REF!,_xll.GetCtData("PKAMOUNT","AMOUNT",$A$1:$A$3,$A169:$B169,R$3:R$5,"#")-SUM($M169:Q169),0)</f>
        <v>#REF!</v>
      </c>
      <c r="S169" s="66" t="e">
        <f>IF(S$1&lt;=#REF!,_xll.GetCtData("PKAMOUNT","AMOUNT",$A$1:$A$3,$A169:$B169,S$3:S$5,"#")-SUM($M169:R169),0)</f>
        <v>#REF!</v>
      </c>
      <c r="T169" s="66" t="e">
        <f>IF(T$1&lt;=#REF!,_xll.GetCtData("PKAMOUNT","AMOUNT",$A$1:$A$3,$A169:$B169,T$3:T$5,"#")-SUM($M169:S169),0)</f>
        <v>#REF!</v>
      </c>
      <c r="U169" s="66" t="e">
        <f>IF(U$1&lt;=#REF!,_xll.GetCtData("PKAMOUNT","AMOUNT",$A$1:$A$3,$A169:$B169,U$3:U$5,"#")-SUM($M169:T169),0)</f>
        <v>#REF!</v>
      </c>
      <c r="V169" s="66" t="e">
        <f>IF(V$1&lt;=#REF!,_xll.GetCtData("PKAMOUNT","AMOUNT",$A$1:$A$3,$A169:$B169,V$3:V$5,"#")-SUM($M169:U169),0)</f>
        <v>#REF!</v>
      </c>
      <c r="W169" s="66" t="e">
        <f>IF(W$1&lt;=#REF!,_xll.GetCtData("PKAMOUNT","AMOUNT",$A$1:$A$3,$A169:$B169,W$3:W$5,"#")-SUM($M169:V169),0)</f>
        <v>#REF!</v>
      </c>
      <c r="X169" s="66" t="e">
        <f>IF(X$1&lt;=#REF!,_xll.GetCtData("PKAMOUNT","AMOUNT",$A$1:$A$3,$A169:$B169,X$3:X$5,"#")-SUM($M169:W169),0)</f>
        <v>#REF!</v>
      </c>
      <c r="Y169" s="66">
        <f>_xll.GetCtData("PKAMOUNT","AMOUNT",$A$1:$A$3,$A169:$B169,Y$3:Y$5,"#")</f>
        <v>0</v>
      </c>
      <c r="Z169" s="34"/>
      <c r="AA169" s="66" t="e">
        <f>$K169*#REF!/12</f>
        <v>#REF!</v>
      </c>
      <c r="AB169" s="60" t="e">
        <f t="shared" si="116"/>
        <v>#REF!</v>
      </c>
      <c r="AC169" s="34"/>
      <c r="AD169" s="66" t="e">
        <f>$L169*#REF!/12</f>
        <v>#REF!</v>
      </c>
      <c r="AE169" s="60" t="e">
        <f t="shared" si="117"/>
        <v>#REF!</v>
      </c>
    </row>
    <row r="170" spans="1:31" ht="18" hidden="1" customHeight="1" outlineLevel="1" x14ac:dyDescent="0.2">
      <c r="A170" s="30" t="s">
        <v>193</v>
      </c>
      <c r="B170" s="30" t="s">
        <v>18</v>
      </c>
      <c r="C170" s="4" t="e">
        <f t="shared" si="114"/>
        <v>#REF!</v>
      </c>
      <c r="D170" s="4" t="e">
        <f t="shared" si="115"/>
        <v>#REF!</v>
      </c>
      <c r="F170" s="38" t="s">
        <v>268</v>
      </c>
      <c r="G170" s="34"/>
      <c r="H170" s="66">
        <f>_xll.GetCtData("PKAMOUNT","AMOUNT",$A$1:$A$3,$A170:$B170,H$3:H$5,"#")</f>
        <v>0</v>
      </c>
      <c r="I170" s="66">
        <f>_xll.GetCtData("PKAMOUNT","AMOUNT",$A$1:$A$3,$A170:$B170,I$3:I$5,"#")</f>
        <v>0</v>
      </c>
      <c r="J170" s="66">
        <f>_xll.GetCtData("PKAMOUNT","AMOUNT",$A$1:$A$3,$A170:$B170,J$3:J$5,"#")</f>
        <v>0</v>
      </c>
      <c r="K170" s="86">
        <f>_xll.GetCtData("PKAMOUNT","AMOUNT",$A$1:$A$3,$A170:$B170,K$3:K$5,"#")</f>
        <v>0</v>
      </c>
      <c r="L170" s="86">
        <f>_xll.GetCtData("PKAMOUNT","AMOUNT",$A$1:$A$3,$A170:$B170,L$3:L$5,"#")</f>
        <v>0</v>
      </c>
      <c r="M170" s="66">
        <f>_xll.GetCtData("PKAMOUNT","AMOUNT",$A$1:$A$3,$A170:$B170,M$3:M$5,"#")</f>
        <v>0</v>
      </c>
      <c r="N170" s="66" t="e">
        <f>IF(N$1&lt;=#REF!,_xll.GetCtData("PKAMOUNT","AMOUNT",$A$1:$A$3,$A170:$B170,N$3:N$5,"#")-SUM($M170:M170),0)</f>
        <v>#REF!</v>
      </c>
      <c r="O170" s="66" t="e">
        <f>IF(O$1&lt;=#REF!,_xll.GetCtData("PKAMOUNT","AMOUNT",$A$1:$A$3,$A170:$B170,O$3:O$5,"#")-SUM($M170:N170),0)</f>
        <v>#REF!</v>
      </c>
      <c r="P170" s="66" t="e">
        <f>IF(P$1&lt;=#REF!,_xll.GetCtData("PKAMOUNT","AMOUNT",$A$1:$A$3,$A170:$B170,P$3:P$5,"#")-SUM($M170:O170),0)</f>
        <v>#REF!</v>
      </c>
      <c r="Q170" s="66" t="e">
        <f>IF(Q$1&lt;=#REF!,_xll.GetCtData("PKAMOUNT","AMOUNT",$A$1:$A$3,$A170:$B170,Q$3:Q$5,"#")-SUM($M170:P170),0)</f>
        <v>#REF!</v>
      </c>
      <c r="R170" s="66" t="e">
        <f>IF(R$1&lt;=#REF!,_xll.GetCtData("PKAMOUNT","AMOUNT",$A$1:$A$3,$A170:$B170,R$3:R$5,"#")-SUM($M170:Q170),0)</f>
        <v>#REF!</v>
      </c>
      <c r="S170" s="66" t="e">
        <f>IF(S$1&lt;=#REF!,_xll.GetCtData("PKAMOUNT","AMOUNT",$A$1:$A$3,$A170:$B170,S$3:S$5,"#")-SUM($M170:R170),0)</f>
        <v>#REF!</v>
      </c>
      <c r="T170" s="66" t="e">
        <f>IF(T$1&lt;=#REF!,_xll.GetCtData("PKAMOUNT","AMOUNT",$A$1:$A$3,$A170:$B170,T$3:T$5,"#")-SUM($M170:S170),0)</f>
        <v>#REF!</v>
      </c>
      <c r="U170" s="66" t="e">
        <f>IF(U$1&lt;=#REF!,_xll.GetCtData("PKAMOUNT","AMOUNT",$A$1:$A$3,$A170:$B170,U$3:U$5,"#")-SUM($M170:T170),0)</f>
        <v>#REF!</v>
      </c>
      <c r="V170" s="66" t="e">
        <f>IF(V$1&lt;=#REF!,_xll.GetCtData("PKAMOUNT","AMOUNT",$A$1:$A$3,$A170:$B170,V$3:V$5,"#")-SUM($M170:U170),0)</f>
        <v>#REF!</v>
      </c>
      <c r="W170" s="66" t="e">
        <f>IF(W$1&lt;=#REF!,_xll.GetCtData("PKAMOUNT","AMOUNT",$A$1:$A$3,$A170:$B170,W$3:W$5,"#")-SUM($M170:V170),0)</f>
        <v>#REF!</v>
      </c>
      <c r="X170" s="66" t="e">
        <f>IF(X$1&lt;=#REF!,_xll.GetCtData("PKAMOUNT","AMOUNT",$A$1:$A$3,$A170:$B170,X$3:X$5,"#")-SUM($M170:W170),0)</f>
        <v>#REF!</v>
      </c>
      <c r="Y170" s="66">
        <f>_xll.GetCtData("PKAMOUNT","AMOUNT",$A$1:$A$3,$A170:$B170,Y$3:Y$5,"#")</f>
        <v>0</v>
      </c>
      <c r="Z170" s="34"/>
      <c r="AA170" s="66" t="e">
        <f>$K170*#REF!/12</f>
        <v>#REF!</v>
      </c>
      <c r="AB170" s="60" t="e">
        <f t="shared" si="116"/>
        <v>#REF!</v>
      </c>
      <c r="AC170" s="34"/>
      <c r="AD170" s="66" t="e">
        <f>$L170*#REF!/12</f>
        <v>#REF!</v>
      </c>
      <c r="AE170" s="60" t="e">
        <f t="shared" si="117"/>
        <v>#REF!</v>
      </c>
    </row>
    <row r="171" spans="1:31" ht="18" hidden="1" customHeight="1" outlineLevel="1" x14ac:dyDescent="0.2">
      <c r="A171" s="30" t="s">
        <v>181</v>
      </c>
      <c r="B171" s="30" t="s">
        <v>18</v>
      </c>
      <c r="C171" s="4" t="e">
        <f t="shared" si="114"/>
        <v>#REF!</v>
      </c>
      <c r="D171" s="4" t="e">
        <f t="shared" si="115"/>
        <v>#REF!</v>
      </c>
      <c r="F171" s="38" t="s">
        <v>182</v>
      </c>
      <c r="G171" s="34"/>
      <c r="H171" s="66">
        <f>_xll.GetCtData("PKAMOUNT","AMOUNT",$A$1:$A$3,$A171:$B171,H$3:H$5,"#")</f>
        <v>0</v>
      </c>
      <c r="I171" s="66">
        <f>_xll.GetCtData("PKAMOUNT","AMOUNT",$A$1:$A$3,$A171:$B171,I$3:I$5,"#")</f>
        <v>0</v>
      </c>
      <c r="J171" s="66">
        <f>_xll.GetCtData("PKAMOUNT","AMOUNT",$A$1:$A$3,$A171:$B171,J$3:J$5,"#")</f>
        <v>0</v>
      </c>
      <c r="K171" s="86">
        <f>_xll.GetCtData("PKAMOUNT","AMOUNT",$A$1:$A$3,$A171:$B171,K$3:K$5,"#")</f>
        <v>0</v>
      </c>
      <c r="L171" s="86">
        <f>_xll.GetCtData("PKAMOUNT","AMOUNT",$A$1:$A$3,$A171:$B171,L$3:L$5,"#")</f>
        <v>0</v>
      </c>
      <c r="M171" s="66">
        <f>_xll.GetCtData("PKAMOUNT","AMOUNT",$A$1:$A$3,$A171:$B171,M$3:M$5,"#")</f>
        <v>0</v>
      </c>
      <c r="N171" s="66" t="e">
        <f>IF(N$1&lt;=#REF!,_xll.GetCtData("PKAMOUNT","AMOUNT",$A$1:$A$3,$A171:$B171,N$3:N$5,"#")-SUM($M171:M171),0)</f>
        <v>#REF!</v>
      </c>
      <c r="O171" s="66" t="e">
        <f>IF(O$1&lt;=#REF!,_xll.GetCtData("PKAMOUNT","AMOUNT",$A$1:$A$3,$A171:$B171,O$3:O$5,"#")-SUM($M171:N171),0)</f>
        <v>#REF!</v>
      </c>
      <c r="P171" s="66" t="e">
        <f>IF(P$1&lt;=#REF!,_xll.GetCtData("PKAMOUNT","AMOUNT",$A$1:$A$3,$A171:$B171,P$3:P$5,"#")-SUM($M171:O171),0)</f>
        <v>#REF!</v>
      </c>
      <c r="Q171" s="66" t="e">
        <f>IF(Q$1&lt;=#REF!,_xll.GetCtData("PKAMOUNT","AMOUNT",$A$1:$A$3,$A171:$B171,Q$3:Q$5,"#")-SUM($M171:P171),0)</f>
        <v>#REF!</v>
      </c>
      <c r="R171" s="66" t="e">
        <f>IF(R$1&lt;=#REF!,_xll.GetCtData("PKAMOUNT","AMOUNT",$A$1:$A$3,$A171:$B171,R$3:R$5,"#")-SUM($M171:Q171),0)</f>
        <v>#REF!</v>
      </c>
      <c r="S171" s="66" t="e">
        <f>IF(S$1&lt;=#REF!,_xll.GetCtData("PKAMOUNT","AMOUNT",$A$1:$A$3,$A171:$B171,S$3:S$5,"#")-SUM($M171:R171),0)</f>
        <v>#REF!</v>
      </c>
      <c r="T171" s="66" t="e">
        <f>IF(T$1&lt;=#REF!,_xll.GetCtData("PKAMOUNT","AMOUNT",$A$1:$A$3,$A171:$B171,T$3:T$5,"#")-SUM($M171:S171),0)</f>
        <v>#REF!</v>
      </c>
      <c r="U171" s="66" t="e">
        <f>IF(U$1&lt;=#REF!,_xll.GetCtData("PKAMOUNT","AMOUNT",$A$1:$A$3,$A171:$B171,U$3:U$5,"#")-SUM($M171:T171),0)</f>
        <v>#REF!</v>
      </c>
      <c r="V171" s="66" t="e">
        <f>IF(V$1&lt;=#REF!,_xll.GetCtData("PKAMOUNT","AMOUNT",$A$1:$A$3,$A171:$B171,V$3:V$5,"#")-SUM($M171:U171),0)</f>
        <v>#REF!</v>
      </c>
      <c r="W171" s="66" t="e">
        <f>IF(W$1&lt;=#REF!,_xll.GetCtData("PKAMOUNT","AMOUNT",$A$1:$A$3,$A171:$B171,W$3:W$5,"#")-SUM($M171:V171),0)</f>
        <v>#REF!</v>
      </c>
      <c r="X171" s="66" t="e">
        <f>IF(X$1&lt;=#REF!,_xll.GetCtData("PKAMOUNT","AMOUNT",$A$1:$A$3,$A171:$B171,X$3:X$5,"#")-SUM($M171:W171),0)</f>
        <v>#REF!</v>
      </c>
      <c r="Y171" s="66">
        <f>_xll.GetCtData("PKAMOUNT","AMOUNT",$A$1:$A$3,$A171:$B171,Y$3:Y$5,"#")</f>
        <v>0</v>
      </c>
      <c r="Z171" s="34"/>
      <c r="AA171" s="66" t="e">
        <f>$K171*#REF!/12</f>
        <v>#REF!</v>
      </c>
      <c r="AB171" s="60" t="e">
        <f t="shared" si="116"/>
        <v>#REF!</v>
      </c>
      <c r="AC171" s="34"/>
      <c r="AD171" s="66" t="e">
        <f>$L171*#REF!/12</f>
        <v>#REF!</v>
      </c>
      <c r="AE171" s="60" t="e">
        <f t="shared" si="117"/>
        <v>#REF!</v>
      </c>
    </row>
    <row r="172" spans="1:31" ht="18" hidden="1" customHeight="1" outlineLevel="1" x14ac:dyDescent="0.2">
      <c r="A172" s="30" t="s">
        <v>90</v>
      </c>
      <c r="B172" s="30" t="s">
        <v>18</v>
      </c>
      <c r="C172" s="4" t="e">
        <f t="shared" si="114"/>
        <v>#REF!</v>
      </c>
      <c r="D172" s="4" t="e">
        <f t="shared" si="115"/>
        <v>#REF!</v>
      </c>
      <c r="F172" s="38" t="s">
        <v>95</v>
      </c>
      <c r="G172" s="34"/>
      <c r="H172" s="66">
        <f>_xll.GetCtData("PKAMOUNT","AMOUNT",$A$1:$A$3,$A172:$B172,H$3:H$5,"#")</f>
        <v>0</v>
      </c>
      <c r="I172" s="66">
        <f>_xll.GetCtData("PKAMOUNT","AMOUNT",$A$1:$A$3,$A172:$B172,I$3:I$5,"#")</f>
        <v>0</v>
      </c>
      <c r="J172" s="66">
        <f>_xll.GetCtData("PKAMOUNT","AMOUNT",$A$1:$A$3,$A172:$B172,J$3:J$5,"#")</f>
        <v>0</v>
      </c>
      <c r="K172" s="86">
        <f>_xll.GetCtData("PKAMOUNT","AMOUNT",$A$1:$A$3,$A172:$B172,K$3:K$5,"#")</f>
        <v>0</v>
      </c>
      <c r="L172" s="86">
        <f>_xll.GetCtData("PKAMOUNT","AMOUNT",$A$1:$A$3,$A172:$B172,L$3:L$5,"#")</f>
        <v>0</v>
      </c>
      <c r="M172" s="66">
        <f>_xll.GetCtData("PKAMOUNT","AMOUNT",$A$1:$A$3,$A172:$B172,M$3:M$5,"#")</f>
        <v>0</v>
      </c>
      <c r="N172" s="66" t="e">
        <f>IF(N$1&lt;=#REF!,_xll.GetCtData("PKAMOUNT","AMOUNT",$A$1:$A$3,$A172:$B172,N$3:N$5,"#")-SUM($M172:M172),0)</f>
        <v>#REF!</v>
      </c>
      <c r="O172" s="66" t="e">
        <f>IF(O$1&lt;=#REF!,_xll.GetCtData("PKAMOUNT","AMOUNT",$A$1:$A$3,$A172:$B172,O$3:O$5,"#")-SUM($M172:N172),0)</f>
        <v>#REF!</v>
      </c>
      <c r="P172" s="66" t="e">
        <f>IF(P$1&lt;=#REF!,_xll.GetCtData("PKAMOUNT","AMOUNT",$A$1:$A$3,$A172:$B172,P$3:P$5,"#")-SUM($M172:O172),0)</f>
        <v>#REF!</v>
      </c>
      <c r="Q172" s="66" t="e">
        <f>IF(Q$1&lt;=#REF!,_xll.GetCtData("PKAMOUNT","AMOUNT",$A$1:$A$3,$A172:$B172,Q$3:Q$5,"#")-SUM($M172:P172),0)</f>
        <v>#REF!</v>
      </c>
      <c r="R172" s="66" t="e">
        <f>IF(R$1&lt;=#REF!,_xll.GetCtData("PKAMOUNT","AMOUNT",$A$1:$A$3,$A172:$B172,R$3:R$5,"#")-SUM($M172:Q172),0)</f>
        <v>#REF!</v>
      </c>
      <c r="S172" s="66" t="e">
        <f>IF(S$1&lt;=#REF!,_xll.GetCtData("PKAMOUNT","AMOUNT",$A$1:$A$3,$A172:$B172,S$3:S$5,"#")-SUM($M172:R172),0)</f>
        <v>#REF!</v>
      </c>
      <c r="T172" s="66" t="e">
        <f>IF(T$1&lt;=#REF!,_xll.GetCtData("PKAMOUNT","AMOUNT",$A$1:$A$3,$A172:$B172,T$3:T$5,"#")-SUM($M172:S172),0)</f>
        <v>#REF!</v>
      </c>
      <c r="U172" s="66" t="e">
        <f>IF(U$1&lt;=#REF!,_xll.GetCtData("PKAMOUNT","AMOUNT",$A$1:$A$3,$A172:$B172,U$3:U$5,"#")-SUM($M172:T172),0)</f>
        <v>#REF!</v>
      </c>
      <c r="V172" s="66" t="e">
        <f>IF(V$1&lt;=#REF!,_xll.GetCtData("PKAMOUNT","AMOUNT",$A$1:$A$3,$A172:$B172,V$3:V$5,"#")-SUM($M172:U172),0)</f>
        <v>#REF!</v>
      </c>
      <c r="W172" s="66" t="e">
        <f>IF(W$1&lt;=#REF!,_xll.GetCtData("PKAMOUNT","AMOUNT",$A$1:$A$3,$A172:$B172,W$3:W$5,"#")-SUM($M172:V172),0)</f>
        <v>#REF!</v>
      </c>
      <c r="X172" s="66" t="e">
        <f>IF(X$1&lt;=#REF!,_xll.GetCtData("PKAMOUNT","AMOUNT",$A$1:$A$3,$A172:$B172,X$3:X$5,"#")-SUM($M172:W172),0)</f>
        <v>#REF!</v>
      </c>
      <c r="Y172" s="66">
        <f>_xll.GetCtData("PKAMOUNT","AMOUNT",$A$1:$A$3,$A172:$B172,Y$3:Y$5,"#")</f>
        <v>0</v>
      </c>
      <c r="Z172" s="34"/>
      <c r="AA172" s="66" t="e">
        <f>$K172*#REF!/12</f>
        <v>#REF!</v>
      </c>
      <c r="AB172" s="60" t="e">
        <f t="shared" si="116"/>
        <v>#REF!</v>
      </c>
      <c r="AC172" s="34"/>
      <c r="AD172" s="66" t="e">
        <f>$L172*#REF!/12</f>
        <v>#REF!</v>
      </c>
      <c r="AE172" s="60" t="e">
        <f t="shared" si="117"/>
        <v>#REF!</v>
      </c>
    </row>
    <row r="173" spans="1:31" ht="18" hidden="1" customHeight="1" outlineLevel="1" x14ac:dyDescent="0.2">
      <c r="A173" s="30" t="s">
        <v>127</v>
      </c>
      <c r="B173" s="30" t="s">
        <v>18</v>
      </c>
      <c r="C173" s="4" t="e">
        <f t="shared" si="114"/>
        <v>#REF!</v>
      </c>
      <c r="D173" s="4" t="e">
        <f t="shared" si="115"/>
        <v>#REF!</v>
      </c>
      <c r="F173" s="38" t="s">
        <v>128</v>
      </c>
      <c r="G173" s="34"/>
      <c r="H173" s="66">
        <f>_xll.GetCtData("PKAMOUNT","AMOUNT",$A$1:$A$3,$A173:$B173,H$3:H$5,"#")</f>
        <v>0</v>
      </c>
      <c r="I173" s="66">
        <f>_xll.GetCtData("PKAMOUNT","AMOUNT",$A$1:$A$3,$A173:$B173,I$3:I$5,"#")</f>
        <v>0</v>
      </c>
      <c r="J173" s="66">
        <f>_xll.GetCtData("PKAMOUNT","AMOUNT",$A$1:$A$3,$A173:$B173,J$3:J$5,"#")</f>
        <v>0</v>
      </c>
      <c r="K173" s="86">
        <f>_xll.GetCtData("PKAMOUNT","AMOUNT",$A$1:$A$3,$A173:$B173,K$3:K$5,"#")</f>
        <v>0</v>
      </c>
      <c r="L173" s="86">
        <f>_xll.GetCtData("PKAMOUNT","AMOUNT",$A$1:$A$3,$A173:$B173,L$3:L$5,"#")</f>
        <v>0</v>
      </c>
      <c r="M173" s="66">
        <f>_xll.GetCtData("PKAMOUNT","AMOUNT",$A$1:$A$3,$A173:$B173,M$3:M$5,"#")</f>
        <v>0</v>
      </c>
      <c r="N173" s="66" t="e">
        <f>IF(N$1&lt;=#REF!,_xll.GetCtData("PKAMOUNT","AMOUNT",$A$1:$A$3,$A173:$B173,N$3:N$5,"#")-SUM($M173:M173),0)</f>
        <v>#REF!</v>
      </c>
      <c r="O173" s="66" t="e">
        <f>IF(O$1&lt;=#REF!,_xll.GetCtData("PKAMOUNT","AMOUNT",$A$1:$A$3,$A173:$B173,O$3:O$5,"#")-SUM($M173:N173),0)</f>
        <v>#REF!</v>
      </c>
      <c r="P173" s="66" t="e">
        <f>IF(P$1&lt;=#REF!,_xll.GetCtData("PKAMOUNT","AMOUNT",$A$1:$A$3,$A173:$B173,P$3:P$5,"#")-SUM($M173:O173),0)</f>
        <v>#REF!</v>
      </c>
      <c r="Q173" s="66" t="e">
        <f>IF(Q$1&lt;=#REF!,_xll.GetCtData("PKAMOUNT","AMOUNT",$A$1:$A$3,$A173:$B173,Q$3:Q$5,"#")-SUM($M173:P173),0)</f>
        <v>#REF!</v>
      </c>
      <c r="R173" s="66" t="e">
        <f>IF(R$1&lt;=#REF!,_xll.GetCtData("PKAMOUNT","AMOUNT",$A$1:$A$3,$A173:$B173,R$3:R$5,"#")-SUM($M173:Q173),0)</f>
        <v>#REF!</v>
      </c>
      <c r="S173" s="66" t="e">
        <f>IF(S$1&lt;=#REF!,_xll.GetCtData("PKAMOUNT","AMOUNT",$A$1:$A$3,$A173:$B173,S$3:S$5,"#")-SUM($M173:R173),0)</f>
        <v>#REF!</v>
      </c>
      <c r="T173" s="66" t="e">
        <f>IF(T$1&lt;=#REF!,_xll.GetCtData("PKAMOUNT","AMOUNT",$A$1:$A$3,$A173:$B173,T$3:T$5,"#")-SUM($M173:S173),0)</f>
        <v>#REF!</v>
      </c>
      <c r="U173" s="66" t="e">
        <f>IF(U$1&lt;=#REF!,_xll.GetCtData("PKAMOUNT","AMOUNT",$A$1:$A$3,$A173:$B173,U$3:U$5,"#")-SUM($M173:T173),0)</f>
        <v>#REF!</v>
      </c>
      <c r="V173" s="66" t="e">
        <f>IF(V$1&lt;=#REF!,_xll.GetCtData("PKAMOUNT","AMOUNT",$A$1:$A$3,$A173:$B173,V$3:V$5,"#")-SUM($M173:U173),0)</f>
        <v>#REF!</v>
      </c>
      <c r="W173" s="66" t="e">
        <f>IF(W$1&lt;=#REF!,_xll.GetCtData("PKAMOUNT","AMOUNT",$A$1:$A$3,$A173:$B173,W$3:W$5,"#")-SUM($M173:V173),0)</f>
        <v>#REF!</v>
      </c>
      <c r="X173" s="66" t="e">
        <f>IF(X$1&lt;=#REF!,_xll.GetCtData("PKAMOUNT","AMOUNT",$A$1:$A$3,$A173:$B173,X$3:X$5,"#")-SUM($M173:W173),0)</f>
        <v>#REF!</v>
      </c>
      <c r="Y173" s="66">
        <f>_xll.GetCtData("PKAMOUNT","AMOUNT",$A$1:$A$3,$A173:$B173,Y$3:Y$5,"#")</f>
        <v>0</v>
      </c>
      <c r="Z173" s="34"/>
      <c r="AA173" s="66" t="e">
        <f>$K173*#REF!/12</f>
        <v>#REF!</v>
      </c>
      <c r="AB173" s="60" t="e">
        <f t="shared" si="116"/>
        <v>#REF!</v>
      </c>
      <c r="AC173" s="34"/>
      <c r="AD173" s="66" t="e">
        <f>$L173*#REF!/12</f>
        <v>#REF!</v>
      </c>
      <c r="AE173" s="60" t="e">
        <f t="shared" si="117"/>
        <v>#REF!</v>
      </c>
    </row>
    <row r="174" spans="1:31" ht="18" hidden="1" customHeight="1" outlineLevel="1" x14ac:dyDescent="0.2">
      <c r="A174" s="30" t="s">
        <v>199</v>
      </c>
      <c r="B174" s="30" t="s">
        <v>18</v>
      </c>
      <c r="C174" s="4" t="e">
        <f t="shared" si="114"/>
        <v>#REF!</v>
      </c>
      <c r="D174" s="4" t="e">
        <f t="shared" si="115"/>
        <v>#REF!</v>
      </c>
      <c r="F174" s="38" t="s">
        <v>184</v>
      </c>
      <c r="G174" s="34"/>
      <c r="H174" s="66">
        <f>_xll.GetCtData("PKAMOUNT","AMOUNT",$A$1:$A$3,$A174:$B174,H$3:H$5,"#")</f>
        <v>0</v>
      </c>
      <c r="I174" s="66">
        <f>_xll.GetCtData("PKAMOUNT","AMOUNT",$A$1:$A$3,$A174:$B174,I$3:I$5,"#")</f>
        <v>0</v>
      </c>
      <c r="J174" s="66">
        <f>_xll.GetCtData("PKAMOUNT","AMOUNT",$A$1:$A$3,$A174:$B174,J$3:J$5,"#")</f>
        <v>0</v>
      </c>
      <c r="K174" s="86">
        <f>_xll.GetCtData("PKAMOUNT","AMOUNT",$A$1:$A$3,$A174:$B174,K$3:K$5,"#")</f>
        <v>0</v>
      </c>
      <c r="L174" s="86">
        <f>_xll.GetCtData("PKAMOUNT","AMOUNT",$A$1:$A$3,$A174:$B174,L$3:L$5,"#")</f>
        <v>0</v>
      </c>
      <c r="M174" s="66">
        <f>_xll.GetCtData("PKAMOUNT","AMOUNT",$A$1:$A$3,$A174:$B174,M$3:M$5,"#")</f>
        <v>0</v>
      </c>
      <c r="N174" s="66" t="e">
        <f>IF(N$1&lt;=#REF!,_xll.GetCtData("PKAMOUNT","AMOUNT",$A$1:$A$3,$A174:$B174,N$3:N$5,"#")-SUM($M174:M174),0)</f>
        <v>#REF!</v>
      </c>
      <c r="O174" s="66" t="e">
        <f>IF(O$1&lt;=#REF!,_xll.GetCtData("PKAMOUNT","AMOUNT",$A$1:$A$3,$A174:$B174,O$3:O$5,"#")-SUM($M174:N174),0)</f>
        <v>#REF!</v>
      </c>
      <c r="P174" s="66" t="e">
        <f>IF(P$1&lt;=#REF!,_xll.GetCtData("PKAMOUNT","AMOUNT",$A$1:$A$3,$A174:$B174,P$3:P$5,"#")-SUM($M174:O174),0)</f>
        <v>#REF!</v>
      </c>
      <c r="Q174" s="66" t="e">
        <f>IF(Q$1&lt;=#REF!,_xll.GetCtData("PKAMOUNT","AMOUNT",$A$1:$A$3,$A174:$B174,Q$3:Q$5,"#")-SUM($M174:P174),0)</f>
        <v>#REF!</v>
      </c>
      <c r="R174" s="66" t="e">
        <f>IF(R$1&lt;=#REF!,_xll.GetCtData("PKAMOUNT","AMOUNT",$A$1:$A$3,$A174:$B174,R$3:R$5,"#")-SUM($M174:Q174),0)</f>
        <v>#REF!</v>
      </c>
      <c r="S174" s="66" t="e">
        <f>IF(S$1&lt;=#REF!,_xll.GetCtData("PKAMOUNT","AMOUNT",$A$1:$A$3,$A174:$B174,S$3:S$5,"#")-SUM($M174:R174),0)</f>
        <v>#REF!</v>
      </c>
      <c r="T174" s="66" t="e">
        <f>IF(T$1&lt;=#REF!,_xll.GetCtData("PKAMOUNT","AMOUNT",$A$1:$A$3,$A174:$B174,T$3:T$5,"#")-SUM($M174:S174),0)</f>
        <v>#REF!</v>
      </c>
      <c r="U174" s="66" t="e">
        <f>IF(U$1&lt;=#REF!,_xll.GetCtData("PKAMOUNT","AMOUNT",$A$1:$A$3,$A174:$B174,U$3:U$5,"#")-SUM($M174:T174),0)</f>
        <v>#REF!</v>
      </c>
      <c r="V174" s="66" t="e">
        <f>IF(V$1&lt;=#REF!,_xll.GetCtData("PKAMOUNT","AMOUNT",$A$1:$A$3,$A174:$B174,V$3:V$5,"#")-SUM($M174:U174),0)</f>
        <v>#REF!</v>
      </c>
      <c r="W174" s="66" t="e">
        <f>IF(W$1&lt;=#REF!,_xll.GetCtData("PKAMOUNT","AMOUNT",$A$1:$A$3,$A174:$B174,W$3:W$5,"#")-SUM($M174:V174),0)</f>
        <v>#REF!</v>
      </c>
      <c r="X174" s="66" t="e">
        <f>IF(X$1&lt;=#REF!,_xll.GetCtData("PKAMOUNT","AMOUNT",$A$1:$A$3,$A174:$B174,X$3:X$5,"#")-SUM($M174:W174),0)</f>
        <v>#REF!</v>
      </c>
      <c r="Y174" s="66">
        <f>_xll.GetCtData("PKAMOUNT","AMOUNT",$A$1:$A$3,$A174:$B174,Y$3:Y$5,"#")</f>
        <v>0</v>
      </c>
      <c r="Z174" s="34"/>
      <c r="AA174" s="66" t="e">
        <f>$K174*#REF!/12</f>
        <v>#REF!</v>
      </c>
      <c r="AB174" s="60" t="e">
        <f t="shared" si="116"/>
        <v>#REF!</v>
      </c>
      <c r="AC174" s="34"/>
      <c r="AD174" s="66" t="e">
        <f>$L174*#REF!/12</f>
        <v>#REF!</v>
      </c>
      <c r="AE174" s="60" t="e">
        <f t="shared" si="117"/>
        <v>#REF!</v>
      </c>
    </row>
    <row r="175" spans="1:31" ht="18" hidden="1" customHeight="1" outlineLevel="1" x14ac:dyDescent="0.2">
      <c r="A175" s="30" t="s">
        <v>263</v>
      </c>
      <c r="B175" s="30" t="s">
        <v>18</v>
      </c>
      <c r="C175" s="4" t="e">
        <f t="shared" si="114"/>
        <v>#REF!</v>
      </c>
      <c r="D175" s="4" t="e">
        <f t="shared" si="115"/>
        <v>#REF!</v>
      </c>
      <c r="F175" s="38" t="s">
        <v>273</v>
      </c>
      <c r="G175" s="34"/>
      <c r="H175" s="66">
        <f>_xll.GetCtData("PKAMOUNT","AMOUNT",$A$1:$A$3,$A175:$B175,H$3:H$5,"#")</f>
        <v>0</v>
      </c>
      <c r="I175" s="66">
        <f>_xll.GetCtData("PKAMOUNT","AMOUNT",$A$1:$A$3,$A175:$B175,I$3:I$5,"#")</f>
        <v>0</v>
      </c>
      <c r="J175" s="66">
        <f>_xll.GetCtData("PKAMOUNT","AMOUNT",$A$1:$A$3,$A175:$B175,J$3:J$5,"#")</f>
        <v>0</v>
      </c>
      <c r="K175" s="86">
        <f>_xll.GetCtData("PKAMOUNT","AMOUNT",$A$1:$A$3,$A175:$B175,K$3:K$5,"#")</f>
        <v>0</v>
      </c>
      <c r="L175" s="86">
        <f>_xll.GetCtData("PKAMOUNT","AMOUNT",$A$1:$A$3,$A175:$B175,L$3:L$5,"#")</f>
        <v>0</v>
      </c>
      <c r="M175" s="66">
        <f>_xll.GetCtData("PKAMOUNT","AMOUNT",$A$1:$A$3,$A175:$B175,M$3:M$5,"#")</f>
        <v>0</v>
      </c>
      <c r="N175" s="66" t="e">
        <f>IF(N$1&lt;=#REF!,_xll.GetCtData("PKAMOUNT","AMOUNT",$A$1:$A$3,$A175:$B175,N$3:N$5,"#")-SUM($M175:M175),0)</f>
        <v>#REF!</v>
      </c>
      <c r="O175" s="66" t="e">
        <f>IF(O$1&lt;=#REF!,_xll.GetCtData("PKAMOUNT","AMOUNT",$A$1:$A$3,$A175:$B175,O$3:O$5,"#")-SUM($M175:N175),0)</f>
        <v>#REF!</v>
      </c>
      <c r="P175" s="66" t="e">
        <f>IF(P$1&lt;=#REF!,_xll.GetCtData("PKAMOUNT","AMOUNT",$A$1:$A$3,$A175:$B175,P$3:P$5,"#")-SUM($M175:O175),0)</f>
        <v>#REF!</v>
      </c>
      <c r="Q175" s="66" t="e">
        <f>IF(Q$1&lt;=#REF!,_xll.GetCtData("PKAMOUNT","AMOUNT",$A$1:$A$3,$A175:$B175,Q$3:Q$5,"#")-SUM($M175:P175),0)</f>
        <v>#REF!</v>
      </c>
      <c r="R175" s="66" t="e">
        <f>IF(R$1&lt;=#REF!,_xll.GetCtData("PKAMOUNT","AMOUNT",$A$1:$A$3,$A175:$B175,R$3:R$5,"#")-SUM($M175:Q175),0)</f>
        <v>#REF!</v>
      </c>
      <c r="S175" s="66" t="e">
        <f>IF(S$1&lt;=#REF!,_xll.GetCtData("PKAMOUNT","AMOUNT",$A$1:$A$3,$A175:$B175,S$3:S$5,"#")-SUM($M175:R175),0)</f>
        <v>#REF!</v>
      </c>
      <c r="T175" s="66" t="e">
        <f>IF(T$1&lt;=#REF!,_xll.GetCtData("PKAMOUNT","AMOUNT",$A$1:$A$3,$A175:$B175,T$3:T$5,"#")-SUM($M175:S175),0)</f>
        <v>#REF!</v>
      </c>
      <c r="U175" s="66" t="e">
        <f>IF(U$1&lt;=#REF!,_xll.GetCtData("PKAMOUNT","AMOUNT",$A$1:$A$3,$A175:$B175,U$3:U$5,"#")-SUM($M175:T175),0)</f>
        <v>#REF!</v>
      </c>
      <c r="V175" s="66" t="e">
        <f>IF(V$1&lt;=#REF!,_xll.GetCtData("PKAMOUNT","AMOUNT",$A$1:$A$3,$A175:$B175,V$3:V$5,"#")-SUM($M175:U175),0)</f>
        <v>#REF!</v>
      </c>
      <c r="W175" s="66" t="e">
        <f>IF(W$1&lt;=#REF!,_xll.GetCtData("PKAMOUNT","AMOUNT",$A$1:$A$3,$A175:$B175,W$3:W$5,"#")-SUM($M175:V175),0)</f>
        <v>#REF!</v>
      </c>
      <c r="X175" s="66" t="e">
        <f>IF(X$1&lt;=#REF!,_xll.GetCtData("PKAMOUNT","AMOUNT",$A$1:$A$3,$A175:$B175,X$3:X$5,"#")-SUM($M175:W175),0)</f>
        <v>#REF!</v>
      </c>
      <c r="Y175" s="66">
        <f>_xll.GetCtData("PKAMOUNT","AMOUNT",$A$1:$A$3,$A175:$B175,Y$3:Y$5,"#")</f>
        <v>0</v>
      </c>
      <c r="Z175" s="34"/>
      <c r="AA175" s="66" t="e">
        <f>$K175*#REF!/12</f>
        <v>#REF!</v>
      </c>
      <c r="AB175" s="60" t="e">
        <f t="shared" si="116"/>
        <v>#REF!</v>
      </c>
      <c r="AC175" s="34"/>
      <c r="AD175" s="66" t="e">
        <f>$L175*#REF!/12</f>
        <v>#REF!</v>
      </c>
      <c r="AE175" s="60" t="e">
        <f t="shared" si="117"/>
        <v>#REF!</v>
      </c>
    </row>
    <row r="176" spans="1:31" ht="18" hidden="1" customHeight="1" outlineLevel="1" x14ac:dyDescent="0.2">
      <c r="A176" s="30" t="s">
        <v>195</v>
      </c>
      <c r="B176" s="30" t="s">
        <v>18</v>
      </c>
      <c r="C176" s="4" t="e">
        <f t="shared" si="114"/>
        <v>#REF!</v>
      </c>
      <c r="D176" s="4" t="e">
        <f t="shared" si="115"/>
        <v>#REF!</v>
      </c>
      <c r="F176" s="38" t="s">
        <v>196</v>
      </c>
      <c r="G176" s="34"/>
      <c r="H176" s="66">
        <f>_xll.GetCtData("PKAMOUNT","AMOUNT",$A$1:$A$3,$A176:$B176,H$3:H$5,"#")</f>
        <v>0</v>
      </c>
      <c r="I176" s="66">
        <f>_xll.GetCtData("PKAMOUNT","AMOUNT",$A$1:$A$3,$A176:$B176,I$3:I$5,"#")</f>
        <v>0</v>
      </c>
      <c r="J176" s="66">
        <f>_xll.GetCtData("PKAMOUNT","AMOUNT",$A$1:$A$3,$A176:$B176,J$3:J$5,"#")</f>
        <v>0</v>
      </c>
      <c r="K176" s="86">
        <f>_xll.GetCtData("PKAMOUNT","AMOUNT",$A$1:$A$3,$A176:$B176,K$3:K$5,"#")</f>
        <v>0</v>
      </c>
      <c r="L176" s="86">
        <f>_xll.GetCtData("PKAMOUNT","AMOUNT",$A$1:$A$3,$A176:$B176,L$3:L$5,"#")</f>
        <v>0</v>
      </c>
      <c r="M176" s="66">
        <f>_xll.GetCtData("PKAMOUNT","AMOUNT",$A$1:$A$3,$A176:$B176,M$3:M$5,"#")</f>
        <v>0</v>
      </c>
      <c r="N176" s="66" t="e">
        <f>IF(N$1&lt;=#REF!,_xll.GetCtData("PKAMOUNT","AMOUNT",$A$1:$A$3,$A176:$B176,N$3:N$5,"#")-SUM($M176:M176),0)</f>
        <v>#REF!</v>
      </c>
      <c r="O176" s="66" t="e">
        <f>IF(O$1&lt;=#REF!,_xll.GetCtData("PKAMOUNT","AMOUNT",$A$1:$A$3,$A176:$B176,O$3:O$5,"#")-SUM($M176:N176),0)</f>
        <v>#REF!</v>
      </c>
      <c r="P176" s="66" t="e">
        <f>IF(P$1&lt;=#REF!,_xll.GetCtData("PKAMOUNT","AMOUNT",$A$1:$A$3,$A176:$B176,P$3:P$5,"#")-SUM($M176:O176),0)</f>
        <v>#REF!</v>
      </c>
      <c r="Q176" s="66" t="e">
        <f>IF(Q$1&lt;=#REF!,_xll.GetCtData("PKAMOUNT","AMOUNT",$A$1:$A$3,$A176:$B176,Q$3:Q$5,"#")-SUM($M176:P176),0)</f>
        <v>#REF!</v>
      </c>
      <c r="R176" s="66" t="e">
        <f>IF(R$1&lt;=#REF!,_xll.GetCtData("PKAMOUNT","AMOUNT",$A$1:$A$3,$A176:$B176,R$3:R$5,"#")-SUM($M176:Q176),0)</f>
        <v>#REF!</v>
      </c>
      <c r="S176" s="66" t="e">
        <f>IF(S$1&lt;=#REF!,_xll.GetCtData("PKAMOUNT","AMOUNT",$A$1:$A$3,$A176:$B176,S$3:S$5,"#")-SUM($M176:R176),0)</f>
        <v>#REF!</v>
      </c>
      <c r="T176" s="66" t="e">
        <f>IF(T$1&lt;=#REF!,_xll.GetCtData("PKAMOUNT","AMOUNT",$A$1:$A$3,$A176:$B176,T$3:T$5,"#")-SUM($M176:S176),0)</f>
        <v>#REF!</v>
      </c>
      <c r="U176" s="66" t="e">
        <f>IF(U$1&lt;=#REF!,_xll.GetCtData("PKAMOUNT","AMOUNT",$A$1:$A$3,$A176:$B176,U$3:U$5,"#")-SUM($M176:T176),0)</f>
        <v>#REF!</v>
      </c>
      <c r="V176" s="66" t="e">
        <f>IF(V$1&lt;=#REF!,_xll.GetCtData("PKAMOUNT","AMOUNT",$A$1:$A$3,$A176:$B176,V$3:V$5,"#")-SUM($M176:U176),0)</f>
        <v>#REF!</v>
      </c>
      <c r="W176" s="66" t="e">
        <f>IF(W$1&lt;=#REF!,_xll.GetCtData("PKAMOUNT","AMOUNT",$A$1:$A$3,$A176:$B176,W$3:W$5,"#")-SUM($M176:V176),0)</f>
        <v>#REF!</v>
      </c>
      <c r="X176" s="66" t="e">
        <f>IF(X$1&lt;=#REF!,_xll.GetCtData("PKAMOUNT","AMOUNT",$A$1:$A$3,$A176:$B176,X$3:X$5,"#")-SUM($M176:W176),0)</f>
        <v>#REF!</v>
      </c>
      <c r="Y176" s="66">
        <f>_xll.GetCtData("PKAMOUNT","AMOUNT",$A$1:$A$3,$A176:$B176,Y$3:Y$5,"#")</f>
        <v>0</v>
      </c>
      <c r="Z176" s="34"/>
      <c r="AA176" s="66" t="e">
        <f>$K176*#REF!/12</f>
        <v>#REF!</v>
      </c>
      <c r="AB176" s="60" t="e">
        <f t="shared" si="116"/>
        <v>#REF!</v>
      </c>
      <c r="AC176" s="34"/>
      <c r="AD176" s="66" t="e">
        <f>$L176*#REF!/12</f>
        <v>#REF!</v>
      </c>
      <c r="AE176" s="60" t="e">
        <f t="shared" si="117"/>
        <v>#REF!</v>
      </c>
    </row>
    <row r="177" spans="1:31" ht="18" hidden="1" customHeight="1" outlineLevel="1" x14ac:dyDescent="0.2">
      <c r="A177" s="30" t="s">
        <v>197</v>
      </c>
      <c r="B177" s="30" t="s">
        <v>18</v>
      </c>
      <c r="C177" s="4" t="e">
        <f t="shared" si="114"/>
        <v>#REF!</v>
      </c>
      <c r="D177" s="4" t="e">
        <f t="shared" si="115"/>
        <v>#REF!</v>
      </c>
      <c r="F177" s="38" t="s">
        <v>267</v>
      </c>
      <c r="G177" s="34"/>
      <c r="H177" s="66">
        <f>_xll.GetCtData("PKAMOUNT","AMOUNT",$A$1:$A$3,$A177:$B177,H$3:H$5,"#")</f>
        <v>0</v>
      </c>
      <c r="I177" s="66">
        <f>_xll.GetCtData("PKAMOUNT","AMOUNT",$A$1:$A$3,$A177:$B177,I$3:I$5,"#")</f>
        <v>0</v>
      </c>
      <c r="J177" s="66">
        <f>_xll.GetCtData("PKAMOUNT","AMOUNT",$A$1:$A$3,$A177:$B177,J$3:J$5,"#")</f>
        <v>0</v>
      </c>
      <c r="K177" s="86">
        <f>_xll.GetCtData("PKAMOUNT","AMOUNT",$A$1:$A$3,$A177:$B177,K$3:K$5,"#")</f>
        <v>0</v>
      </c>
      <c r="L177" s="86">
        <f>_xll.GetCtData("PKAMOUNT","AMOUNT",$A$1:$A$3,$A177:$B177,L$3:L$5,"#")</f>
        <v>0</v>
      </c>
      <c r="M177" s="66">
        <f>_xll.GetCtData("PKAMOUNT","AMOUNT",$A$1:$A$3,$A177:$B177,M$3:M$5,"#")</f>
        <v>0</v>
      </c>
      <c r="N177" s="66" t="e">
        <f>IF(N$1&lt;=#REF!,_xll.GetCtData("PKAMOUNT","AMOUNT",$A$1:$A$3,$A177:$B177,N$3:N$5,"#")-SUM($M177:M177),0)</f>
        <v>#REF!</v>
      </c>
      <c r="O177" s="66" t="e">
        <f>IF(O$1&lt;=#REF!,_xll.GetCtData("PKAMOUNT","AMOUNT",$A$1:$A$3,$A177:$B177,O$3:O$5,"#")-SUM($M177:N177),0)</f>
        <v>#REF!</v>
      </c>
      <c r="P177" s="66" t="e">
        <f>IF(P$1&lt;=#REF!,_xll.GetCtData("PKAMOUNT","AMOUNT",$A$1:$A$3,$A177:$B177,P$3:P$5,"#")-SUM($M177:O177),0)</f>
        <v>#REF!</v>
      </c>
      <c r="Q177" s="66" t="e">
        <f>IF(Q$1&lt;=#REF!,_xll.GetCtData("PKAMOUNT","AMOUNT",$A$1:$A$3,$A177:$B177,Q$3:Q$5,"#")-SUM($M177:P177),0)</f>
        <v>#REF!</v>
      </c>
      <c r="R177" s="66" t="e">
        <f>IF(R$1&lt;=#REF!,_xll.GetCtData("PKAMOUNT","AMOUNT",$A$1:$A$3,$A177:$B177,R$3:R$5,"#")-SUM($M177:Q177),0)</f>
        <v>#REF!</v>
      </c>
      <c r="S177" s="66" t="e">
        <f>IF(S$1&lt;=#REF!,_xll.GetCtData("PKAMOUNT","AMOUNT",$A$1:$A$3,$A177:$B177,S$3:S$5,"#")-SUM($M177:R177),0)</f>
        <v>#REF!</v>
      </c>
      <c r="T177" s="66" t="e">
        <f>IF(T$1&lt;=#REF!,_xll.GetCtData("PKAMOUNT","AMOUNT",$A$1:$A$3,$A177:$B177,T$3:T$5,"#")-SUM($M177:S177),0)</f>
        <v>#REF!</v>
      </c>
      <c r="U177" s="66" t="e">
        <f>IF(U$1&lt;=#REF!,_xll.GetCtData("PKAMOUNT","AMOUNT",$A$1:$A$3,$A177:$B177,U$3:U$5,"#")-SUM($M177:T177),0)</f>
        <v>#REF!</v>
      </c>
      <c r="V177" s="66" t="e">
        <f>IF(V$1&lt;=#REF!,_xll.GetCtData("PKAMOUNT","AMOUNT",$A$1:$A$3,$A177:$B177,V$3:V$5,"#")-SUM($M177:U177),0)</f>
        <v>#REF!</v>
      </c>
      <c r="W177" s="66" t="e">
        <f>IF(W$1&lt;=#REF!,_xll.GetCtData("PKAMOUNT","AMOUNT",$A$1:$A$3,$A177:$B177,W$3:W$5,"#")-SUM($M177:V177),0)</f>
        <v>#REF!</v>
      </c>
      <c r="X177" s="66" t="e">
        <f>IF(X$1&lt;=#REF!,_xll.GetCtData("PKAMOUNT","AMOUNT",$A$1:$A$3,$A177:$B177,X$3:X$5,"#")-SUM($M177:W177),0)</f>
        <v>#REF!</v>
      </c>
      <c r="Y177" s="66">
        <f>_xll.GetCtData("PKAMOUNT","AMOUNT",$A$1:$A$3,$A177:$B177,Y$3:Y$5,"#")</f>
        <v>0</v>
      </c>
      <c r="Z177" s="34"/>
      <c r="AA177" s="66" t="e">
        <f>$K177*#REF!/12</f>
        <v>#REF!</v>
      </c>
      <c r="AB177" s="60" t="e">
        <f t="shared" si="116"/>
        <v>#REF!</v>
      </c>
      <c r="AC177" s="34"/>
      <c r="AD177" s="66" t="e">
        <f>$L177*#REF!/12</f>
        <v>#REF!</v>
      </c>
      <c r="AE177" s="60" t="e">
        <f t="shared" si="117"/>
        <v>#REF!</v>
      </c>
    </row>
    <row r="178" spans="1:31" ht="18" hidden="1" customHeight="1" outlineLevel="1" x14ac:dyDescent="0.2">
      <c r="A178" s="30" t="s">
        <v>257</v>
      </c>
      <c r="B178" s="30" t="s">
        <v>18</v>
      </c>
      <c r="C178" s="4" t="e">
        <f t="shared" si="114"/>
        <v>#REF!</v>
      </c>
      <c r="D178" s="4" t="e">
        <f t="shared" si="115"/>
        <v>#REF!</v>
      </c>
      <c r="F178" s="104" t="s">
        <v>260</v>
      </c>
      <c r="G178" s="36"/>
      <c r="H178" s="65">
        <f>_xll.GetCtData("PKAMOUNT","AMOUNT",$A$1:$A$3,$A178:$B178,H$3:H$5,"#")</f>
        <v>0</v>
      </c>
      <c r="I178" s="65">
        <f>_xll.GetCtData("PKAMOUNT","AMOUNT",$A$1:$A$3,$A178:$B178,I$3:I$5,"#")</f>
        <v>0</v>
      </c>
      <c r="J178" s="65">
        <f>_xll.GetCtData("PKAMOUNT","AMOUNT",$A$1:$A$3,$A178:$B178,J$3:J$5,"#")</f>
        <v>0</v>
      </c>
      <c r="K178" s="90">
        <f>_xll.GetCtData("PKAMOUNT","AMOUNT",$A$1:$A$3,$A178:$B178,K$3:K$5,"#")</f>
        <v>0</v>
      </c>
      <c r="L178" s="90">
        <f>_xll.GetCtData("PKAMOUNT","AMOUNT",$A$1:$A$3,$A178:$B178,L$3:L$5,"#")</f>
        <v>0</v>
      </c>
      <c r="M178" s="65">
        <f>_xll.GetCtData("PKAMOUNT","AMOUNT",$A$1:$A$3,$A178:$B178,M$3:M$5,"#")</f>
        <v>0</v>
      </c>
      <c r="N178" s="65" t="e">
        <f>IF(N$1&lt;=#REF!,_xll.GetCtData("PKAMOUNT","AMOUNT",$A$1:$A$3,$A178:$B178,N$3:N$5,"#")-SUM($M178:M178),0)</f>
        <v>#REF!</v>
      </c>
      <c r="O178" s="65" t="e">
        <f>IF(O$1&lt;=#REF!,_xll.GetCtData("PKAMOUNT","AMOUNT",$A$1:$A$3,$A178:$B178,O$3:O$5,"#")-SUM($M178:N178),0)</f>
        <v>#REF!</v>
      </c>
      <c r="P178" s="65" t="e">
        <f>IF(P$1&lt;=#REF!,_xll.GetCtData("PKAMOUNT","AMOUNT",$A$1:$A$3,$A178:$B178,P$3:P$5,"#")-SUM($M178:O178),0)</f>
        <v>#REF!</v>
      </c>
      <c r="Q178" s="65" t="e">
        <f>IF(Q$1&lt;=#REF!,_xll.GetCtData("PKAMOUNT","AMOUNT",$A$1:$A$3,$A178:$B178,Q$3:Q$5,"#")-SUM($M178:P178),0)</f>
        <v>#REF!</v>
      </c>
      <c r="R178" s="65" t="e">
        <f>IF(R$1&lt;=#REF!,_xll.GetCtData("PKAMOUNT","AMOUNT",$A$1:$A$3,$A178:$B178,R$3:R$5,"#")-SUM($M178:Q178),0)</f>
        <v>#REF!</v>
      </c>
      <c r="S178" s="65" t="e">
        <f>IF(S$1&lt;=#REF!,_xll.GetCtData("PKAMOUNT","AMOUNT",$A$1:$A$3,$A178:$B178,S$3:S$5,"#")-SUM($M178:R178),0)</f>
        <v>#REF!</v>
      </c>
      <c r="T178" s="65" t="e">
        <f>IF(T$1&lt;=#REF!,_xll.GetCtData("PKAMOUNT","AMOUNT",$A$1:$A$3,$A178:$B178,T$3:T$5,"#")-SUM($M178:S178),0)</f>
        <v>#REF!</v>
      </c>
      <c r="U178" s="65" t="e">
        <f>IF(U$1&lt;=#REF!,_xll.GetCtData("PKAMOUNT","AMOUNT",$A$1:$A$3,$A178:$B178,U$3:U$5,"#")-SUM($M178:T178),0)</f>
        <v>#REF!</v>
      </c>
      <c r="V178" s="65" t="e">
        <f>IF(V$1&lt;=#REF!,_xll.GetCtData("PKAMOUNT","AMOUNT",$A$1:$A$3,$A178:$B178,V$3:V$5,"#")-SUM($M178:U178),0)</f>
        <v>#REF!</v>
      </c>
      <c r="W178" s="65" t="e">
        <f>IF(W$1&lt;=#REF!,_xll.GetCtData("PKAMOUNT","AMOUNT",$A$1:$A$3,$A178:$B178,W$3:W$5,"#")-SUM($M178:V178),0)</f>
        <v>#REF!</v>
      </c>
      <c r="X178" s="65" t="e">
        <f>IF(X$1&lt;=#REF!,_xll.GetCtData("PKAMOUNT","AMOUNT",$A$1:$A$3,$A178:$B178,X$3:X$5,"#")-SUM($M178:W178),0)</f>
        <v>#REF!</v>
      </c>
      <c r="Y178" s="65">
        <f>_xll.GetCtData("PKAMOUNT","AMOUNT",$A$1:$A$3,$A178:$B178,Y$3:Y$5,"#")</f>
        <v>0</v>
      </c>
      <c r="Z178" s="36"/>
      <c r="AA178" s="65" t="e">
        <f>$K178*#REF!/12</f>
        <v>#REF!</v>
      </c>
      <c r="AB178" s="60" t="e">
        <f t="shared" si="116"/>
        <v>#REF!</v>
      </c>
      <c r="AC178" s="36"/>
      <c r="AD178" s="65" t="e">
        <f>$L178*#REF!/12</f>
        <v>#REF!</v>
      </c>
      <c r="AE178" s="60" t="e">
        <f t="shared" si="117"/>
        <v>#REF!</v>
      </c>
    </row>
    <row r="179" spans="1:31" ht="18" hidden="1" customHeight="1" outlineLevel="1" x14ac:dyDescent="0.2">
      <c r="A179" s="30" t="s">
        <v>200</v>
      </c>
      <c r="B179" s="30" t="s">
        <v>18</v>
      </c>
      <c r="C179" s="4" t="e">
        <f t="shared" si="114"/>
        <v>#REF!</v>
      </c>
      <c r="D179" s="4" t="e">
        <f t="shared" si="115"/>
        <v>#REF!</v>
      </c>
      <c r="F179" s="104" t="s">
        <v>183</v>
      </c>
      <c r="G179" s="36"/>
      <c r="H179" s="65">
        <f>_xll.GetCtData("PKAMOUNT","AMOUNT",$A$1:$A$3,$A179:$B179,H$3:H$5,"#")</f>
        <v>0</v>
      </c>
      <c r="I179" s="65">
        <f>_xll.GetCtData("PKAMOUNT","AMOUNT",$A$1:$A$3,$A179:$B179,I$3:I$5,"#")</f>
        <v>0</v>
      </c>
      <c r="J179" s="65">
        <f>_xll.GetCtData("PKAMOUNT","AMOUNT",$A$1:$A$3,$A179:$B179,J$3:J$5,"#")</f>
        <v>0</v>
      </c>
      <c r="K179" s="90">
        <f>_xll.GetCtData("PKAMOUNT","AMOUNT",$A$1:$A$3,$A179:$B179,K$3:K$5,"#")</f>
        <v>0</v>
      </c>
      <c r="L179" s="90">
        <f>_xll.GetCtData("PKAMOUNT","AMOUNT",$A$1:$A$3,$A179:$B179,L$3:L$5,"#")</f>
        <v>0</v>
      </c>
      <c r="M179" s="65">
        <f>_xll.GetCtData("PKAMOUNT","AMOUNT",$A$1:$A$3,$A179:$B179,M$3:M$5,"#")</f>
        <v>0</v>
      </c>
      <c r="N179" s="65" t="e">
        <f>IF(N$1&lt;=#REF!,_xll.GetCtData("PKAMOUNT","AMOUNT",$A$1:$A$3,$A179:$B179,N$3:N$5,"#")-SUM($M179:M179),0)</f>
        <v>#REF!</v>
      </c>
      <c r="O179" s="65" t="e">
        <f>IF(O$1&lt;=#REF!,_xll.GetCtData("PKAMOUNT","AMOUNT",$A$1:$A$3,$A179:$B179,O$3:O$5,"#")-SUM($M179:N179),0)</f>
        <v>#REF!</v>
      </c>
      <c r="P179" s="65" t="e">
        <f>IF(P$1&lt;=#REF!,_xll.GetCtData("PKAMOUNT","AMOUNT",$A$1:$A$3,$A179:$B179,P$3:P$5,"#")-SUM($M179:O179),0)</f>
        <v>#REF!</v>
      </c>
      <c r="Q179" s="65" t="e">
        <f>IF(Q$1&lt;=#REF!,_xll.GetCtData("PKAMOUNT","AMOUNT",$A$1:$A$3,$A179:$B179,Q$3:Q$5,"#")-SUM($M179:P179),0)</f>
        <v>#REF!</v>
      </c>
      <c r="R179" s="65" t="e">
        <f>IF(R$1&lt;=#REF!,_xll.GetCtData("PKAMOUNT","AMOUNT",$A$1:$A$3,$A179:$B179,R$3:R$5,"#")-SUM($M179:Q179),0)</f>
        <v>#REF!</v>
      </c>
      <c r="S179" s="65" t="e">
        <f>IF(S$1&lt;=#REF!,_xll.GetCtData("PKAMOUNT","AMOUNT",$A$1:$A$3,$A179:$B179,S$3:S$5,"#")-SUM($M179:R179),0)</f>
        <v>#REF!</v>
      </c>
      <c r="T179" s="65" t="e">
        <f>IF(T$1&lt;=#REF!,_xll.GetCtData("PKAMOUNT","AMOUNT",$A$1:$A$3,$A179:$B179,T$3:T$5,"#")-SUM($M179:S179),0)</f>
        <v>#REF!</v>
      </c>
      <c r="U179" s="65" t="e">
        <f>IF(U$1&lt;=#REF!,_xll.GetCtData("PKAMOUNT","AMOUNT",$A$1:$A$3,$A179:$B179,U$3:U$5,"#")-SUM($M179:T179),0)</f>
        <v>#REF!</v>
      </c>
      <c r="V179" s="65" t="e">
        <f>IF(V$1&lt;=#REF!,_xll.GetCtData("PKAMOUNT","AMOUNT",$A$1:$A$3,$A179:$B179,V$3:V$5,"#")-SUM($M179:U179),0)</f>
        <v>#REF!</v>
      </c>
      <c r="W179" s="65" t="e">
        <f>IF(W$1&lt;=#REF!,_xll.GetCtData("PKAMOUNT","AMOUNT",$A$1:$A$3,$A179:$B179,W$3:W$5,"#")-SUM($M179:V179),0)</f>
        <v>#REF!</v>
      </c>
      <c r="X179" s="65" t="e">
        <f>IF(X$1&lt;=#REF!,_xll.GetCtData("PKAMOUNT","AMOUNT",$A$1:$A$3,$A179:$B179,X$3:X$5,"#")-SUM($M179:W179),0)</f>
        <v>#REF!</v>
      </c>
      <c r="Y179" s="65">
        <f>_xll.GetCtData("PKAMOUNT","AMOUNT",$A$1:$A$3,$A179:$B179,Y$3:Y$5,"#")</f>
        <v>0</v>
      </c>
      <c r="Z179" s="36"/>
      <c r="AA179" s="65" t="e">
        <f>$K179*#REF!/12</f>
        <v>#REF!</v>
      </c>
      <c r="AB179" s="60" t="e">
        <f t="shared" si="116"/>
        <v>#REF!</v>
      </c>
      <c r="AC179" s="36"/>
      <c r="AD179" s="65" t="e">
        <f>$L179*#REF!/12</f>
        <v>#REF!</v>
      </c>
      <c r="AE179" s="60" t="e">
        <f t="shared" si="117"/>
        <v>#REF!</v>
      </c>
    </row>
    <row r="180" spans="1:31" ht="18" hidden="1" customHeight="1" outlineLevel="1" x14ac:dyDescent="0.2">
      <c r="A180" s="30" t="s">
        <v>256</v>
      </c>
      <c r="B180" s="30" t="s">
        <v>18</v>
      </c>
      <c r="C180" s="4" t="e">
        <f t="shared" si="114"/>
        <v>#REF!</v>
      </c>
      <c r="D180" s="4" t="e">
        <f t="shared" si="115"/>
        <v>#REF!</v>
      </c>
      <c r="F180" s="104" t="s">
        <v>259</v>
      </c>
      <c r="G180" s="36"/>
      <c r="H180" s="65">
        <f>_xll.GetCtData("PKAMOUNT","AMOUNT",$A$1:$A$3,$A180:$B180,H$3:H$5,"#")</f>
        <v>0</v>
      </c>
      <c r="I180" s="65">
        <f>_xll.GetCtData("PKAMOUNT","AMOUNT",$A$1:$A$3,$A180:$B180,I$3:I$5,"#")</f>
        <v>0</v>
      </c>
      <c r="J180" s="65">
        <f>_xll.GetCtData("PKAMOUNT","AMOUNT",$A$1:$A$3,$A180:$B180,J$3:J$5,"#")</f>
        <v>0</v>
      </c>
      <c r="K180" s="90">
        <f>_xll.GetCtData("PKAMOUNT","AMOUNT",$A$1:$A$3,$A180:$B180,K$3:K$5,"#")</f>
        <v>0</v>
      </c>
      <c r="L180" s="90">
        <f>_xll.GetCtData("PKAMOUNT","AMOUNT",$A$1:$A$3,$A180:$B180,L$3:L$5,"#")</f>
        <v>0</v>
      </c>
      <c r="M180" s="65">
        <f>_xll.GetCtData("PKAMOUNT","AMOUNT",$A$1:$A$3,$A180:$B180,M$3:M$5,"#")</f>
        <v>0</v>
      </c>
      <c r="N180" s="65" t="e">
        <f>IF(N$1&lt;=#REF!,_xll.GetCtData("PKAMOUNT","AMOUNT",$A$1:$A$3,$A180:$B180,N$3:N$5,"#")-SUM($M180:M180),0)</f>
        <v>#REF!</v>
      </c>
      <c r="O180" s="65" t="e">
        <f>IF(O$1&lt;=#REF!,_xll.GetCtData("PKAMOUNT","AMOUNT",$A$1:$A$3,$A180:$B180,O$3:O$5,"#")-SUM($M180:N180),0)</f>
        <v>#REF!</v>
      </c>
      <c r="P180" s="65" t="e">
        <f>IF(P$1&lt;=#REF!,_xll.GetCtData("PKAMOUNT","AMOUNT",$A$1:$A$3,$A180:$B180,P$3:P$5,"#")-SUM($M180:O180),0)</f>
        <v>#REF!</v>
      </c>
      <c r="Q180" s="65" t="e">
        <f>IF(Q$1&lt;=#REF!,_xll.GetCtData("PKAMOUNT","AMOUNT",$A$1:$A$3,$A180:$B180,Q$3:Q$5,"#")-SUM($M180:P180),0)</f>
        <v>#REF!</v>
      </c>
      <c r="R180" s="65" t="e">
        <f>IF(R$1&lt;=#REF!,_xll.GetCtData("PKAMOUNT","AMOUNT",$A$1:$A$3,$A180:$B180,R$3:R$5,"#")-SUM($M180:Q180),0)</f>
        <v>#REF!</v>
      </c>
      <c r="S180" s="65" t="e">
        <f>IF(S$1&lt;=#REF!,_xll.GetCtData("PKAMOUNT","AMOUNT",$A$1:$A$3,$A180:$B180,S$3:S$5,"#")-SUM($M180:R180),0)</f>
        <v>#REF!</v>
      </c>
      <c r="T180" s="65" t="e">
        <f>IF(T$1&lt;=#REF!,_xll.GetCtData("PKAMOUNT","AMOUNT",$A$1:$A$3,$A180:$B180,T$3:T$5,"#")-SUM($M180:S180),0)</f>
        <v>#REF!</v>
      </c>
      <c r="U180" s="65" t="e">
        <f>IF(U$1&lt;=#REF!,_xll.GetCtData("PKAMOUNT","AMOUNT",$A$1:$A$3,$A180:$B180,U$3:U$5,"#")-SUM($M180:T180),0)</f>
        <v>#REF!</v>
      </c>
      <c r="V180" s="65" t="e">
        <f>IF(V$1&lt;=#REF!,_xll.GetCtData("PKAMOUNT","AMOUNT",$A$1:$A$3,$A180:$B180,V$3:V$5,"#")-SUM($M180:U180),0)</f>
        <v>#REF!</v>
      </c>
      <c r="W180" s="65" t="e">
        <f>IF(W$1&lt;=#REF!,_xll.GetCtData("PKAMOUNT","AMOUNT",$A$1:$A$3,$A180:$B180,W$3:W$5,"#")-SUM($M180:V180),0)</f>
        <v>#REF!</v>
      </c>
      <c r="X180" s="65" t="e">
        <f>IF(X$1&lt;=#REF!,_xll.GetCtData("PKAMOUNT","AMOUNT",$A$1:$A$3,$A180:$B180,X$3:X$5,"#")-SUM($M180:W180),0)</f>
        <v>#REF!</v>
      </c>
      <c r="Y180" s="65">
        <f>_xll.GetCtData("PKAMOUNT","AMOUNT",$A$1:$A$3,$A180:$B180,Y$3:Y$5,"#")</f>
        <v>0</v>
      </c>
      <c r="Z180" s="36"/>
      <c r="AA180" s="65" t="e">
        <f>$K180*#REF!/12</f>
        <v>#REF!</v>
      </c>
      <c r="AB180" s="60" t="e">
        <f t="shared" si="116"/>
        <v>#REF!</v>
      </c>
      <c r="AC180" s="36"/>
      <c r="AD180" s="65" t="e">
        <f>$L180*#REF!/12</f>
        <v>#REF!</v>
      </c>
      <c r="AE180" s="60" t="e">
        <f t="shared" si="117"/>
        <v>#REF!</v>
      </c>
    </row>
    <row r="181" spans="1:31" ht="18" hidden="1" customHeight="1" outlineLevel="1" x14ac:dyDescent="0.2">
      <c r="A181" s="30" t="s">
        <v>185</v>
      </c>
      <c r="B181" s="30" t="s">
        <v>18</v>
      </c>
      <c r="C181" s="4" t="e">
        <f t="shared" si="114"/>
        <v>#REF!</v>
      </c>
      <c r="D181" s="4" t="e">
        <f t="shared" si="115"/>
        <v>#REF!</v>
      </c>
      <c r="F181" s="38" t="s">
        <v>186</v>
      </c>
      <c r="G181" s="34"/>
      <c r="H181" s="66">
        <f>_xll.GetCtData("PKAMOUNT","AMOUNT",$A$1:$A$3,$A181:$B181,H$3:H$5,"#")</f>
        <v>0</v>
      </c>
      <c r="I181" s="66">
        <f>_xll.GetCtData("PKAMOUNT","AMOUNT",$A$1:$A$3,$A181:$B181,I$3:I$5,"#")</f>
        <v>0</v>
      </c>
      <c r="J181" s="66">
        <f>_xll.GetCtData("PKAMOUNT","AMOUNT",$A$1:$A$3,$A181:$B181,J$3:J$5,"#")</f>
        <v>0</v>
      </c>
      <c r="K181" s="86">
        <f>_xll.GetCtData("PKAMOUNT","AMOUNT",$A$1:$A$3,$A181:$B181,K$3:K$5,"#")</f>
        <v>0</v>
      </c>
      <c r="L181" s="86">
        <f>_xll.GetCtData("PKAMOUNT","AMOUNT",$A$1:$A$3,$A181:$B181,L$3:L$5,"#")</f>
        <v>0</v>
      </c>
      <c r="M181" s="66">
        <f>_xll.GetCtData("PKAMOUNT","AMOUNT",$A$1:$A$3,$A181:$B181,M$3:M$5,"#")</f>
        <v>0</v>
      </c>
      <c r="N181" s="66" t="e">
        <f>IF(N$1&lt;=#REF!,_xll.GetCtData("PKAMOUNT","AMOUNT",$A$1:$A$3,$A181:$B181,N$3:N$5,"#")-SUM($M181:M181),0)</f>
        <v>#REF!</v>
      </c>
      <c r="O181" s="66" t="e">
        <f>IF(O$1&lt;=#REF!,_xll.GetCtData("PKAMOUNT","AMOUNT",$A$1:$A$3,$A181:$B181,O$3:O$5,"#")-SUM($M181:N181),0)</f>
        <v>#REF!</v>
      </c>
      <c r="P181" s="66" t="e">
        <f>IF(P$1&lt;=#REF!,_xll.GetCtData("PKAMOUNT","AMOUNT",$A$1:$A$3,$A181:$B181,P$3:P$5,"#")-SUM($M181:O181),0)</f>
        <v>#REF!</v>
      </c>
      <c r="Q181" s="66" t="e">
        <f>IF(Q$1&lt;=#REF!,_xll.GetCtData("PKAMOUNT","AMOUNT",$A$1:$A$3,$A181:$B181,Q$3:Q$5,"#")-SUM($M181:P181),0)</f>
        <v>#REF!</v>
      </c>
      <c r="R181" s="66" t="e">
        <f>IF(R$1&lt;=#REF!,_xll.GetCtData("PKAMOUNT","AMOUNT",$A$1:$A$3,$A181:$B181,R$3:R$5,"#")-SUM($M181:Q181),0)</f>
        <v>#REF!</v>
      </c>
      <c r="S181" s="66" t="e">
        <f>IF(S$1&lt;=#REF!,_xll.GetCtData("PKAMOUNT","AMOUNT",$A$1:$A$3,$A181:$B181,S$3:S$5,"#")-SUM($M181:R181),0)</f>
        <v>#REF!</v>
      </c>
      <c r="T181" s="66" t="e">
        <f>IF(T$1&lt;=#REF!,_xll.GetCtData("PKAMOUNT","AMOUNT",$A$1:$A$3,$A181:$B181,T$3:T$5,"#")-SUM($M181:S181),0)</f>
        <v>#REF!</v>
      </c>
      <c r="U181" s="66" t="e">
        <f>IF(U$1&lt;=#REF!,_xll.GetCtData("PKAMOUNT","AMOUNT",$A$1:$A$3,$A181:$B181,U$3:U$5,"#")-SUM($M181:T181),0)</f>
        <v>#REF!</v>
      </c>
      <c r="V181" s="66" t="e">
        <f>IF(V$1&lt;=#REF!,_xll.GetCtData("PKAMOUNT","AMOUNT",$A$1:$A$3,$A181:$B181,V$3:V$5,"#")-SUM($M181:U181),0)</f>
        <v>#REF!</v>
      </c>
      <c r="W181" s="66" t="e">
        <f>IF(W$1&lt;=#REF!,_xll.GetCtData("PKAMOUNT","AMOUNT",$A$1:$A$3,$A181:$B181,W$3:W$5,"#")-SUM($M181:V181),0)</f>
        <v>#REF!</v>
      </c>
      <c r="X181" s="66" t="e">
        <f>IF(X$1&lt;=#REF!,_xll.GetCtData("PKAMOUNT","AMOUNT",$A$1:$A$3,$A181:$B181,X$3:X$5,"#")-SUM($M181:W181),0)</f>
        <v>#REF!</v>
      </c>
      <c r="Y181" s="66">
        <f>_xll.GetCtData("PKAMOUNT","AMOUNT",$A$1:$A$3,$A181:$B181,Y$3:Y$5,"#")</f>
        <v>0</v>
      </c>
      <c r="Z181" s="34"/>
      <c r="AA181" s="66" t="e">
        <f>$K181*#REF!/12</f>
        <v>#REF!</v>
      </c>
      <c r="AB181" s="60" t="e">
        <f t="shared" si="116"/>
        <v>#REF!</v>
      </c>
      <c r="AC181" s="34"/>
      <c r="AD181" s="66" t="e">
        <f>$L181*#REF!/12</f>
        <v>#REF!</v>
      </c>
      <c r="AE181" s="60" t="e">
        <f t="shared" si="117"/>
        <v>#REF!</v>
      </c>
    </row>
    <row r="182" spans="1:31" ht="18" customHeight="1" collapsed="1" x14ac:dyDescent="0.2">
      <c r="A182" s="35"/>
      <c r="B182" s="35"/>
      <c r="C182" s="4" t="e">
        <f t="shared" si="114"/>
        <v>#REF!</v>
      </c>
      <c r="D182" s="4" t="e">
        <f t="shared" si="115"/>
        <v>#REF!</v>
      </c>
      <c r="F182" s="106" t="s">
        <v>188</v>
      </c>
      <c r="H182" s="61">
        <f>SUM(H161:H181)</f>
        <v>0</v>
      </c>
      <c r="I182" s="61">
        <f t="shared" ref="I182:Y182" si="118">SUM(I161:I181)</f>
        <v>0</v>
      </c>
      <c r="J182" s="61">
        <f t="shared" si="118"/>
        <v>0</v>
      </c>
      <c r="K182" s="86">
        <f t="shared" si="118"/>
        <v>0</v>
      </c>
      <c r="L182" s="86">
        <f t="shared" si="118"/>
        <v>0</v>
      </c>
      <c r="M182" s="61">
        <f t="shared" si="118"/>
        <v>0</v>
      </c>
      <c r="N182" s="61" t="e">
        <f t="shared" si="118"/>
        <v>#REF!</v>
      </c>
      <c r="O182" s="61" t="e">
        <f t="shared" si="118"/>
        <v>#REF!</v>
      </c>
      <c r="P182" s="61" t="e">
        <f t="shared" si="118"/>
        <v>#REF!</v>
      </c>
      <c r="Q182" s="61" t="e">
        <f t="shared" si="118"/>
        <v>#REF!</v>
      </c>
      <c r="R182" s="61" t="e">
        <f t="shared" si="118"/>
        <v>#REF!</v>
      </c>
      <c r="S182" s="61" t="e">
        <f t="shared" ref="S182:T182" si="119">SUM(S161:S181)</f>
        <v>#REF!</v>
      </c>
      <c r="T182" s="61" t="e">
        <f t="shared" si="119"/>
        <v>#REF!</v>
      </c>
      <c r="U182" s="61" t="e">
        <f t="shared" si="118"/>
        <v>#REF!</v>
      </c>
      <c r="V182" s="61" t="e">
        <f t="shared" si="118"/>
        <v>#REF!</v>
      </c>
      <c r="W182" s="61" t="e">
        <f t="shared" si="118"/>
        <v>#REF!</v>
      </c>
      <c r="X182" s="61" t="e">
        <f t="shared" si="118"/>
        <v>#REF!</v>
      </c>
      <c r="Y182" s="61">
        <f t="shared" si="118"/>
        <v>0</v>
      </c>
      <c r="AA182" s="61" t="e">
        <f>$K182*#REF!/12</f>
        <v>#REF!</v>
      </c>
      <c r="AB182" s="60" t="e">
        <f t="shared" si="116"/>
        <v>#REF!</v>
      </c>
      <c r="AD182" s="61" t="e">
        <f>$L182*#REF!/12</f>
        <v>#REF!</v>
      </c>
      <c r="AE182" s="60" t="e">
        <f t="shared" si="117"/>
        <v>#REF!</v>
      </c>
    </row>
    <row r="183" spans="1:31" ht="18" customHeight="1" x14ac:dyDescent="0.2">
      <c r="A183" s="35"/>
      <c r="B183" s="35"/>
      <c r="C183" s="4" t="e">
        <f t="shared" si="114"/>
        <v>#REF!</v>
      </c>
      <c r="D183" s="4" t="e">
        <f t="shared" si="115"/>
        <v>#REF!</v>
      </c>
      <c r="F183" s="95" t="s">
        <v>87</v>
      </c>
      <c r="H183" s="64">
        <f>H155+H156+H157+H158+H159+H160+H182</f>
        <v>-0.23199999999999998</v>
      </c>
      <c r="I183" s="64">
        <f t="shared" ref="I183:Y183" si="120">I155+I156+I157+I158+I159+I160+I182</f>
        <v>-0.46400000000000002</v>
      </c>
      <c r="J183" s="64">
        <f t="shared" si="120"/>
        <v>-0.46400000000000002</v>
      </c>
      <c r="K183" s="89">
        <f t="shared" si="120"/>
        <v>0</v>
      </c>
      <c r="L183" s="89">
        <f t="shared" si="120"/>
        <v>0</v>
      </c>
      <c r="M183" s="64">
        <f t="shared" si="120"/>
        <v>-1.7000000000000001E-2</v>
      </c>
      <c r="N183" s="64" t="e">
        <f t="shared" si="120"/>
        <v>#REF!</v>
      </c>
      <c r="O183" s="64" t="e">
        <f t="shared" si="120"/>
        <v>#REF!</v>
      </c>
      <c r="P183" s="64" t="e">
        <f t="shared" si="120"/>
        <v>#REF!</v>
      </c>
      <c r="Q183" s="64" t="e">
        <f t="shared" si="120"/>
        <v>#REF!</v>
      </c>
      <c r="R183" s="64" t="e">
        <f t="shared" si="120"/>
        <v>#REF!</v>
      </c>
      <c r="S183" s="64" t="e">
        <f t="shared" ref="S183:T183" si="121">S155+S156+S157+S158+S159+S160+S182</f>
        <v>#REF!</v>
      </c>
      <c r="T183" s="64" t="e">
        <f t="shared" si="121"/>
        <v>#REF!</v>
      </c>
      <c r="U183" s="64" t="e">
        <f t="shared" si="120"/>
        <v>#REF!</v>
      </c>
      <c r="V183" s="64" t="e">
        <f t="shared" si="120"/>
        <v>#REF!</v>
      </c>
      <c r="W183" s="64" t="e">
        <f t="shared" si="120"/>
        <v>#REF!</v>
      </c>
      <c r="X183" s="64" t="e">
        <f t="shared" si="120"/>
        <v>#REF!</v>
      </c>
      <c r="Y183" s="64">
        <f t="shared" si="120"/>
        <v>-0.187</v>
      </c>
      <c r="AA183" s="64" t="e">
        <f>$K183*#REF!/12</f>
        <v>#REF!</v>
      </c>
      <c r="AB183" s="60" t="e">
        <f t="shared" si="116"/>
        <v>#REF!</v>
      </c>
      <c r="AD183" s="64" t="e">
        <f>$L183*#REF!/12</f>
        <v>#REF!</v>
      </c>
      <c r="AE183" s="60" t="e">
        <f t="shared" si="117"/>
        <v>#REF!</v>
      </c>
    </row>
    <row r="184" spans="1:31" ht="12.95" customHeight="1" x14ac:dyDescent="0.2">
      <c r="A184" s="35"/>
      <c r="B184" s="35"/>
      <c r="C184" s="4"/>
      <c r="D184" s="4"/>
      <c r="F184" s="39" t="s">
        <v>223</v>
      </c>
      <c r="H184" s="56">
        <f>-H183/(H$58)</f>
        <v>-6.0652009097801364E-3</v>
      </c>
      <c r="I184" s="56">
        <f t="shared" ref="I184:L184" si="122">-I183/(I$58)</f>
        <v>-2.8497727551897802E-2</v>
      </c>
      <c r="J184" s="56">
        <f t="shared" si="122"/>
        <v>-2.8497727551897802E-2</v>
      </c>
      <c r="K184" s="109" t="e">
        <f t="shared" si="122"/>
        <v>#DIV/0!</v>
      </c>
      <c r="L184" s="109" t="e">
        <f t="shared" si="122"/>
        <v>#DIV/0!</v>
      </c>
      <c r="M184" s="56" t="e">
        <f>-M183/(M$58)</f>
        <v>#DIV/0!</v>
      </c>
      <c r="N184" s="56" t="e">
        <f>IF(N$1&lt;=#REF!,-N183/(N$58),"")</f>
        <v>#REF!</v>
      </c>
      <c r="O184" s="56" t="e">
        <f>IF(O$1&lt;=#REF!,-O183/(O$58),"")</f>
        <v>#REF!</v>
      </c>
      <c r="P184" s="56" t="e">
        <f>IF(P$1&lt;=#REF!,-P183/(P$58),"")</f>
        <v>#REF!</v>
      </c>
      <c r="Q184" s="56" t="e">
        <f>IF(Q$1&lt;=#REF!,-Q183/(Q$58),"")</f>
        <v>#REF!</v>
      </c>
      <c r="R184" s="56" t="e">
        <f>IF(R$1&lt;=#REF!,-R183/(R$58),"")</f>
        <v>#REF!</v>
      </c>
      <c r="S184" s="56" t="e">
        <f>IF(S$1&lt;=#REF!,-S183/(S$58),"")</f>
        <v>#REF!</v>
      </c>
      <c r="T184" s="56" t="e">
        <f>IF(T$1&lt;=#REF!,-T183/(T$58),"")</f>
        <v>#REF!</v>
      </c>
      <c r="U184" s="56" t="e">
        <f>IF(U$1&lt;=#REF!,-U183/(U$58),"")</f>
        <v>#REF!</v>
      </c>
      <c r="V184" s="56" t="e">
        <f>IF(V$1&lt;=#REF!,-V183/(V$58),"")</f>
        <v>#REF!</v>
      </c>
      <c r="W184" s="56" t="e">
        <f>IF(W$1&lt;=#REF!,-W183/(W$58),"")</f>
        <v>#REF!</v>
      </c>
      <c r="X184" s="56" t="e">
        <f>IF(X$1&lt;=#REF!,-X183/(X$58),"")</f>
        <v>#REF!</v>
      </c>
      <c r="Y184" s="56" t="e">
        <f>-Y183/(Y$58)</f>
        <v>#DIV/0!</v>
      </c>
      <c r="AA184" s="56" t="e">
        <f>-AA183/(AA$58)</f>
        <v>#REF!</v>
      </c>
      <c r="AB184" s="57"/>
      <c r="AD184" s="56" t="e">
        <f>-AD183/(AD$58)</f>
        <v>#REF!</v>
      </c>
      <c r="AE184" s="57"/>
    </row>
    <row r="185" spans="1:31" ht="6.95" customHeight="1" x14ac:dyDescent="0.2">
      <c r="C185" s="4"/>
      <c r="D185" s="4"/>
      <c r="F185" s="96"/>
      <c r="H185" s="16"/>
      <c r="I185" s="16"/>
      <c r="J185" s="16"/>
      <c r="K185" s="85"/>
      <c r="L185" s="85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AA185" s="16"/>
      <c r="AB185" s="20"/>
      <c r="AD185" s="16"/>
      <c r="AE185" s="20"/>
    </row>
    <row r="186" spans="1:31" s="40" customFormat="1" ht="18" customHeight="1" x14ac:dyDescent="0.2">
      <c r="A186" s="35"/>
      <c r="B186" s="35"/>
      <c r="C186" s="4" t="e">
        <f>IF(AND($Y186=0,AA186=0),0,IF(AA186=0,IF($Y186&gt;=0,AB186/$Y186,-AB186/$Y186),IF(AA186&gt;=0,AB186/AA186,-AB186/AA186)))</f>
        <v>#REF!</v>
      </c>
      <c r="D186" s="4" t="e">
        <f>IF(AND($Y186=0,AD186=0),0,IF(AD186=0,IF($Y186&gt;=0,AE186/$Y186,-AE186/$Y186),IF(AD186&gt;=0,AE186/AD186,-AE186/AD186)))</f>
        <v>#REF!</v>
      </c>
      <c r="E186" s="8"/>
      <c r="F186" s="100" t="s">
        <v>277</v>
      </c>
      <c r="G186" s="8"/>
      <c r="H186" s="62">
        <f t="shared" ref="H186:Y186" si="123">H92+H111+H137+H152+H183</f>
        <v>123.16200000000001</v>
      </c>
      <c r="I186" s="62">
        <f t="shared" si="123"/>
        <v>-0.46400000000000002</v>
      </c>
      <c r="J186" s="62">
        <f t="shared" si="123"/>
        <v>-0.46400000000000002</v>
      </c>
      <c r="K186" s="108">
        <f t="shared" si="123"/>
        <v>0</v>
      </c>
      <c r="L186" s="108">
        <f t="shared" si="123"/>
        <v>0</v>
      </c>
      <c r="M186" s="62">
        <f t="shared" si="123"/>
        <v>-1.7000000000000001E-2</v>
      </c>
      <c r="N186" s="62" t="e">
        <f t="shared" si="123"/>
        <v>#REF!</v>
      </c>
      <c r="O186" s="62" t="e">
        <f t="shared" si="123"/>
        <v>#REF!</v>
      </c>
      <c r="P186" s="62" t="e">
        <f t="shared" si="123"/>
        <v>#REF!</v>
      </c>
      <c r="Q186" s="62" t="e">
        <f t="shared" si="123"/>
        <v>#REF!</v>
      </c>
      <c r="R186" s="62" t="e">
        <f t="shared" si="123"/>
        <v>#REF!</v>
      </c>
      <c r="S186" s="62" t="e">
        <f t="shared" ref="S186:T186" si="124">S92+S111+S137+S152+S183</f>
        <v>#REF!</v>
      </c>
      <c r="T186" s="62" t="e">
        <f t="shared" si="124"/>
        <v>#REF!</v>
      </c>
      <c r="U186" s="62" t="e">
        <f t="shared" si="123"/>
        <v>#REF!</v>
      </c>
      <c r="V186" s="62" t="e">
        <f t="shared" si="123"/>
        <v>#REF!</v>
      </c>
      <c r="W186" s="62" t="e">
        <f t="shared" si="123"/>
        <v>#REF!</v>
      </c>
      <c r="X186" s="62" t="e">
        <f t="shared" si="123"/>
        <v>#REF!</v>
      </c>
      <c r="Y186" s="62">
        <f t="shared" si="123"/>
        <v>-0.187</v>
      </c>
      <c r="Z186" s="8"/>
      <c r="AA186" s="62" t="e">
        <f>$K186*#REF!/12</f>
        <v>#REF!</v>
      </c>
      <c r="AB186" s="60" t="e">
        <f>ROUND($Y186-AA186,2)</f>
        <v>#REF!</v>
      </c>
      <c r="AC186" s="8"/>
      <c r="AD186" s="62" t="e">
        <f>$L186*#REF!/12</f>
        <v>#REF!</v>
      </c>
      <c r="AE186" s="60" t="e">
        <f>ROUND($Y186-AD186,2)</f>
        <v>#REF!</v>
      </c>
    </row>
    <row r="187" spans="1:31" ht="12.95" customHeight="1" x14ac:dyDescent="0.2">
      <c r="A187" s="35"/>
      <c r="B187" s="35"/>
      <c r="C187" s="4"/>
      <c r="D187" s="4"/>
      <c r="F187" s="39" t="s">
        <v>223</v>
      </c>
      <c r="H187" s="56">
        <f>-H186/(H$58)</f>
        <v>3.2198373898721604</v>
      </c>
      <c r="I187" s="56">
        <f t="shared" ref="I187:L187" si="125">-I186/(I$58)</f>
        <v>-2.8497727551897802E-2</v>
      </c>
      <c r="J187" s="56">
        <f t="shared" si="125"/>
        <v>-2.8497727551897802E-2</v>
      </c>
      <c r="K187" s="109" t="e">
        <f t="shared" si="125"/>
        <v>#DIV/0!</v>
      </c>
      <c r="L187" s="109" t="e">
        <f t="shared" si="125"/>
        <v>#DIV/0!</v>
      </c>
      <c r="M187" s="56" t="e">
        <f>-M186/(M$58)</f>
        <v>#DIV/0!</v>
      </c>
      <c r="N187" s="56" t="e">
        <f>IF(N$1&lt;=#REF!,-N186/(N$58),"")</f>
        <v>#REF!</v>
      </c>
      <c r="O187" s="56" t="e">
        <f>IF(O$1&lt;=#REF!,-O186/(O$58),"")</f>
        <v>#REF!</v>
      </c>
      <c r="P187" s="56" t="e">
        <f>IF(P$1&lt;=#REF!,-P186/(P$58),"")</f>
        <v>#REF!</v>
      </c>
      <c r="Q187" s="56" t="e">
        <f>IF(Q$1&lt;=#REF!,-Q186/(Q$58),"")</f>
        <v>#REF!</v>
      </c>
      <c r="R187" s="56" t="e">
        <f>IF(R$1&lt;=#REF!,-R186/(R$58),"")</f>
        <v>#REF!</v>
      </c>
      <c r="S187" s="56" t="e">
        <f>IF(S$1&lt;=#REF!,-S186/(S$58),"")</f>
        <v>#REF!</v>
      </c>
      <c r="T187" s="56" t="e">
        <f>IF(T$1&lt;=#REF!,-T186/(T$58),"")</f>
        <v>#REF!</v>
      </c>
      <c r="U187" s="56" t="e">
        <f>IF(U$1&lt;=#REF!,-U186/(U$58),"")</f>
        <v>#REF!</v>
      </c>
      <c r="V187" s="56" t="e">
        <f>IF(V$1&lt;=#REF!,-V186/(V$58),"")</f>
        <v>#REF!</v>
      </c>
      <c r="W187" s="56" t="e">
        <f>IF(W$1&lt;=#REF!,-W186/(W$58),"")</f>
        <v>#REF!</v>
      </c>
      <c r="X187" s="56" t="e">
        <f>IF(X$1&lt;=#REF!,-X186/(X$58),"")</f>
        <v>#REF!</v>
      </c>
      <c r="Y187" s="56" t="e">
        <f>-Y186/(Y$58)</f>
        <v>#DIV/0!</v>
      </c>
      <c r="AA187" s="56" t="e">
        <f>-AA186/(AA$58)</f>
        <v>#REF!</v>
      </c>
      <c r="AB187" s="57"/>
      <c r="AD187" s="56" t="e">
        <f>-AD186/(AD$58)</f>
        <v>#REF!</v>
      </c>
      <c r="AE187" s="57"/>
    </row>
    <row r="188" spans="1:31" ht="6.95" customHeight="1" x14ac:dyDescent="0.2">
      <c r="C188" s="4"/>
      <c r="D188" s="4"/>
      <c r="F188" s="96"/>
      <c r="H188" s="16"/>
      <c r="I188" s="16"/>
      <c r="J188" s="16"/>
      <c r="K188" s="85"/>
      <c r="L188" s="85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AA188" s="16"/>
      <c r="AB188" s="20"/>
      <c r="AD188" s="16"/>
      <c r="AE188" s="20"/>
    </row>
    <row r="189" spans="1:31" ht="18" customHeight="1" x14ac:dyDescent="0.2">
      <c r="A189" s="35"/>
      <c r="B189" s="35"/>
      <c r="C189" s="4" t="e">
        <f>IF(AND($Y189=0,AA189=0),0,IF(AA189=0,IF($Y189&gt;=0,AB189/$Y189,-AB189/$Y189),IF(AA189&gt;=0,AB189/AA189,-AB189/AA189)))</f>
        <v>#REF!</v>
      </c>
      <c r="D189" s="4" t="e">
        <f>IF(AND($Y189=0,AD189=0),0,IF(AD189=0,IF($Y189&gt;=0,AE189/$Y189,-AE189/$Y189),IF(AD189&gt;=0,AE189/AD189,-AE189/AD189)))</f>
        <v>#REF!</v>
      </c>
      <c r="F189" s="101" t="s">
        <v>278</v>
      </c>
      <c r="H189" s="77">
        <f t="shared" ref="H189:Y189" si="126">H58+H60+H63+H68+H186</f>
        <v>84.911000000000001</v>
      </c>
      <c r="I189" s="77">
        <f t="shared" si="126"/>
        <v>-16.745999999999999</v>
      </c>
      <c r="J189" s="77">
        <f t="shared" si="126"/>
        <v>-16.745999999999999</v>
      </c>
      <c r="K189" s="114">
        <f t="shared" si="126"/>
        <v>0</v>
      </c>
      <c r="L189" s="114">
        <f t="shared" si="126"/>
        <v>0</v>
      </c>
      <c r="M189" s="77">
        <f t="shared" si="126"/>
        <v>-1.7000000000000001E-2</v>
      </c>
      <c r="N189" s="77" t="e">
        <f t="shared" si="126"/>
        <v>#REF!</v>
      </c>
      <c r="O189" s="77" t="e">
        <f t="shared" si="126"/>
        <v>#REF!</v>
      </c>
      <c r="P189" s="77" t="e">
        <f t="shared" si="126"/>
        <v>#REF!</v>
      </c>
      <c r="Q189" s="77" t="e">
        <f t="shared" si="126"/>
        <v>#REF!</v>
      </c>
      <c r="R189" s="77" t="e">
        <f t="shared" si="126"/>
        <v>#REF!</v>
      </c>
      <c r="S189" s="77" t="e">
        <f t="shared" ref="S189:T189" si="127">S58+S60+S63+S68+S186</f>
        <v>#REF!</v>
      </c>
      <c r="T189" s="77" t="e">
        <f t="shared" si="127"/>
        <v>#REF!</v>
      </c>
      <c r="U189" s="77" t="e">
        <f t="shared" si="126"/>
        <v>#REF!</v>
      </c>
      <c r="V189" s="77" t="e">
        <f t="shared" si="126"/>
        <v>#REF!</v>
      </c>
      <c r="W189" s="77" t="e">
        <f t="shared" si="126"/>
        <v>#REF!</v>
      </c>
      <c r="X189" s="77" t="e">
        <f t="shared" si="126"/>
        <v>#REF!</v>
      </c>
      <c r="Y189" s="77">
        <f t="shared" si="126"/>
        <v>-0.187</v>
      </c>
      <c r="AA189" s="77" t="e">
        <f>$K189*#REF!/12</f>
        <v>#REF!</v>
      </c>
      <c r="AB189" s="60" t="e">
        <f>ROUND($Y189-AA189,2)</f>
        <v>#REF!</v>
      </c>
      <c r="AD189" s="77" t="e">
        <f>$L189*#REF!/12</f>
        <v>#REF!</v>
      </c>
      <c r="AE189" s="60" t="e">
        <f>ROUND($Y189-AD189,2)</f>
        <v>#REF!</v>
      </c>
    </row>
    <row r="190" spans="1:31" ht="12.95" customHeight="1" x14ac:dyDescent="0.2">
      <c r="A190" s="35"/>
      <c r="B190" s="35"/>
      <c r="C190" s="4"/>
      <c r="D190" s="4"/>
      <c r="F190" s="39" t="s">
        <v>223</v>
      </c>
      <c r="H190" s="56">
        <f t="shared" ref="H190:M190" si="128">H189/(H$58)</f>
        <v>-2.2198373898721604</v>
      </c>
      <c r="I190" s="56">
        <f t="shared" si="128"/>
        <v>1.0284977275518976</v>
      </c>
      <c r="J190" s="56">
        <f t="shared" si="128"/>
        <v>1.0284977275518976</v>
      </c>
      <c r="K190" s="109" t="e">
        <f t="shared" si="128"/>
        <v>#DIV/0!</v>
      </c>
      <c r="L190" s="109" t="e">
        <f t="shared" si="128"/>
        <v>#DIV/0!</v>
      </c>
      <c r="M190" s="56" t="e">
        <f t="shared" si="128"/>
        <v>#DIV/0!</v>
      </c>
      <c r="N190" s="56" t="e">
        <f>IF(N$1&lt;=#REF!,N189/(N$58),"")</f>
        <v>#REF!</v>
      </c>
      <c r="O190" s="56" t="e">
        <f>IF(O$1&lt;=#REF!,O189/(O$58),"")</f>
        <v>#REF!</v>
      </c>
      <c r="P190" s="56" t="e">
        <f>IF(P$1&lt;=#REF!,P189/(P$58),"")</f>
        <v>#REF!</v>
      </c>
      <c r="Q190" s="56" t="e">
        <f>IF(Q$1&lt;=#REF!,Q189/(Q$58),"")</f>
        <v>#REF!</v>
      </c>
      <c r="R190" s="56" t="e">
        <f>IF(R$1&lt;=#REF!,R189/(R$58),"")</f>
        <v>#REF!</v>
      </c>
      <c r="S190" s="56" t="e">
        <f>IF(S$1&lt;=#REF!,S189/(S$58),"")</f>
        <v>#REF!</v>
      </c>
      <c r="T190" s="56" t="e">
        <f>IF(T$1&lt;=#REF!,T189/(T$58),"")</f>
        <v>#REF!</v>
      </c>
      <c r="U190" s="56" t="e">
        <f>IF(U$1&lt;=#REF!,U189/(U$58),"")</f>
        <v>#REF!</v>
      </c>
      <c r="V190" s="56" t="e">
        <f>IF(V$1&lt;=#REF!,V189/(V$58),"")</f>
        <v>#REF!</v>
      </c>
      <c r="W190" s="56" t="e">
        <f>IF(W$1&lt;=#REF!,W189/(W$58),"")</f>
        <v>#REF!</v>
      </c>
      <c r="X190" s="56" t="e">
        <f>IF(X$1&lt;=#REF!,X189/(X$58),"")</f>
        <v>#REF!</v>
      </c>
      <c r="Y190" s="56" t="e">
        <f>Y189/(Y$58)</f>
        <v>#DIV/0!</v>
      </c>
      <c r="AA190" s="56" t="e">
        <f>AA189/(AA$58)</f>
        <v>#REF!</v>
      </c>
      <c r="AB190" s="57"/>
      <c r="AD190" s="56" t="e">
        <f>AD189/(AD$58)</f>
        <v>#REF!</v>
      </c>
      <c r="AE190" s="57"/>
    </row>
    <row r="191" spans="1:31" ht="6.95" customHeight="1" x14ac:dyDescent="0.2">
      <c r="C191" s="4"/>
      <c r="D191" s="4"/>
      <c r="F191" s="96"/>
      <c r="H191" s="16"/>
      <c r="I191" s="16"/>
      <c r="J191" s="16"/>
      <c r="K191" s="85"/>
      <c r="L191" s="85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AA191" s="16"/>
      <c r="AB191" s="20"/>
      <c r="AD191" s="16"/>
      <c r="AE191" s="20"/>
    </row>
    <row r="192" spans="1:31" ht="18" hidden="1" customHeight="1" outlineLevel="1" x14ac:dyDescent="0.2">
      <c r="A192" s="30" t="s">
        <v>36</v>
      </c>
      <c r="B192" s="30" t="s">
        <v>243</v>
      </c>
      <c r="C192" s="4"/>
      <c r="D192" s="4"/>
      <c r="F192" s="51" t="s">
        <v>246</v>
      </c>
      <c r="G192" s="34"/>
      <c r="H192" s="72">
        <f>_xll.GetCtData("PKAMOUNT","AMOUNT",$A$1:$A$3,$A192:$B192,H$3:H$5,"#")</f>
        <v>0</v>
      </c>
      <c r="I192" s="72" t="e">
        <f>_xll.GetCtData("PKAMOUNT","AMOUNT",$A$1:$A$3,$A192:$B192,I$3:I$5,"#")*12/#REF!</f>
        <v>#REF!</v>
      </c>
      <c r="J192" s="72">
        <f>_xll.GetCtData("PKAMOUNT","AMOUNT",$A$1:$A$3,$A192:$B192,J$3:J$5,"#")</f>
        <v>0</v>
      </c>
      <c r="K192" s="111">
        <f>_xll.GetCtData("PKAMOUNT","AMOUNT",$A$1:$A$3,$A192:$B192,K$3:K$5,"#")</f>
        <v>0</v>
      </c>
      <c r="L192" s="111">
        <f>_xll.GetCtData("PKAMOUNT","AMOUNT",$A$1:$A$3,$A192:$B192,L$3:L$5,"#")</f>
        <v>0</v>
      </c>
      <c r="M192" s="72">
        <f>_xll.GetCtData("PKAMOUNT","AMOUNT",$A$1:$A$3,$A192:$B192,M$3:M$5,"#")*12</f>
        <v>0</v>
      </c>
      <c r="N192" s="72" t="e">
        <f>IF(N$1&lt;=#REF!,_xll.GetCtData("PKAMOUNT","AMOUNT",$A$1:$A$3,$A192:$B192,N$3:N$5,"#")*12-SUM($M192:M192),0)</f>
        <v>#REF!</v>
      </c>
      <c r="O192" s="72" t="e">
        <f>IF(O$1&lt;=#REF!,_xll.GetCtData("PKAMOUNT","AMOUNT",$A$1:$A$3,$A192:$B192,O$3:O$5,"#")*12-SUM($M192:N192),0)</f>
        <v>#REF!</v>
      </c>
      <c r="P192" s="72" t="e">
        <f>IF(P$1&lt;=#REF!,_xll.GetCtData("PKAMOUNT","AMOUNT",$A$1:$A$3,$A192:$B192,P$3:P$5,"#")*12-SUM($M192:O192),0)</f>
        <v>#REF!</v>
      </c>
      <c r="Q192" s="72" t="e">
        <f>IF(Q$1&lt;=#REF!,_xll.GetCtData("PKAMOUNT","AMOUNT",$A$1:$A$3,$A192:$B192,Q$3:Q$5,"#")*12-SUM($M192:P192),0)</f>
        <v>#REF!</v>
      </c>
      <c r="R192" s="72" t="e">
        <f>IF(R$1&lt;=#REF!,_xll.GetCtData("PKAMOUNT","AMOUNT",$A$1:$A$3,$A192:$B192,R$3:R$5,"#")*12-SUM($M192:Q192),0)</f>
        <v>#REF!</v>
      </c>
      <c r="S192" s="72" t="e">
        <f>IF(S$1&lt;=#REF!,_xll.GetCtData("PKAMOUNT","AMOUNT",$A$1:$A$3,$A192:$B192,S$3:S$5,"#")*12-SUM($M192:R192),0)</f>
        <v>#REF!</v>
      </c>
      <c r="T192" s="72" t="e">
        <f>IF(T$1&lt;=#REF!,_xll.GetCtData("PKAMOUNT","AMOUNT",$A$1:$A$3,$A192:$B192,T$3:T$5,"#")*12-SUM($M192:S192),0)</f>
        <v>#REF!</v>
      </c>
      <c r="U192" s="72" t="e">
        <f>IF(U$1&lt;=#REF!,_xll.GetCtData("PKAMOUNT","AMOUNT",$A$1:$A$3,$A192:$B192,U$3:U$5,"#")*12-SUM($M192:T192),0)</f>
        <v>#REF!</v>
      </c>
      <c r="V192" s="72" t="e">
        <f>IF(V$1&lt;=#REF!,_xll.GetCtData("PKAMOUNT","AMOUNT",$A$1:$A$3,$A192:$B192,V$3:V$5,"#")*12-SUM($M192:U192),0)</f>
        <v>#REF!</v>
      </c>
      <c r="W192" s="72" t="e">
        <f>IF(W$1&lt;=#REF!,_xll.GetCtData("PKAMOUNT","AMOUNT",$A$1:$A$3,$A192:$B192,W$3:W$5,"#")*12-SUM($M192:V192),0)</f>
        <v>#REF!</v>
      </c>
      <c r="X192" s="72" t="e">
        <f>IF(X$1&lt;=#REF!,_xll.GetCtData("PKAMOUNT","AMOUNT",$A$1:$A$3,$A192:$B192,X$3:X$5,"#")*12-SUM($M192:W192),0)</f>
        <v>#REF!</v>
      </c>
      <c r="Y192" s="72" t="e">
        <f>_xll.GetCtData("PKAMOUNT","AMOUNT",$A$1:$A$3,$A192:$B192,Y$3:Y$5,"#")*12/#REF!</f>
        <v>#REF!</v>
      </c>
      <c r="Z192" s="34"/>
      <c r="AA192" s="72">
        <f t="shared" ref="AA192:AA197" si="129">$K192</f>
        <v>0</v>
      </c>
      <c r="AB192" s="73" t="e">
        <f t="shared" ref="AB192:AB197" si="130">ROUND($Y192-AA192,2)</f>
        <v>#REF!</v>
      </c>
      <c r="AC192" s="34"/>
      <c r="AD192" s="72">
        <f t="shared" ref="AD192:AD197" si="131">$L192</f>
        <v>0</v>
      </c>
      <c r="AE192" s="73" t="e">
        <f t="shared" ref="AE192:AE197" si="132">ROUND($Y192-AD192,2)</f>
        <v>#REF!</v>
      </c>
    </row>
    <row r="193" spans="1:31" ht="18" hidden="1" customHeight="1" outlineLevel="1" x14ac:dyDescent="0.2">
      <c r="A193" s="30" t="s">
        <v>36</v>
      </c>
      <c r="B193" s="30" t="s">
        <v>244</v>
      </c>
      <c r="C193" s="4"/>
      <c r="D193" s="4"/>
      <c r="F193" s="51" t="s">
        <v>247</v>
      </c>
      <c r="G193" s="34"/>
      <c r="H193" s="72">
        <f>_xll.GetCtData("PKAMOUNT","AMOUNT",$A$1:$A$3,$A193:$B193,H$3:H$5,"#")</f>
        <v>0</v>
      </c>
      <c r="I193" s="72" t="e">
        <f>_xll.GetCtData("PKAMOUNT","AMOUNT",$A$1:$A$3,$A193:$B193,I$3:I$5,"#")*12/#REF!</f>
        <v>#REF!</v>
      </c>
      <c r="J193" s="72">
        <f>_xll.GetCtData("PKAMOUNT","AMOUNT",$A$1:$A$3,$A193:$B193,J$3:J$5,"#")</f>
        <v>0</v>
      </c>
      <c r="K193" s="111">
        <f>_xll.GetCtData("PKAMOUNT","AMOUNT",$A$1:$A$3,$A193:$B193,K$3:K$5,"#")</f>
        <v>0</v>
      </c>
      <c r="L193" s="111">
        <f>_xll.GetCtData("PKAMOUNT","AMOUNT",$A$1:$A$3,$A193:$B193,L$3:L$5,"#")</f>
        <v>0</v>
      </c>
      <c r="M193" s="72">
        <f>_xll.GetCtData("PKAMOUNT","AMOUNT",$A$1:$A$3,$A193:$B193,M$3:M$5,"#")*12</f>
        <v>0</v>
      </c>
      <c r="N193" s="72" t="e">
        <f>IF(N$1&lt;=#REF!,_xll.GetCtData("PKAMOUNT","AMOUNT",$A$1:$A$3,$A193:$B193,N$3:N$5,"#")*12-SUM($M193:M193),0)</f>
        <v>#REF!</v>
      </c>
      <c r="O193" s="72" t="e">
        <f>IF(O$1&lt;=#REF!,_xll.GetCtData("PKAMOUNT","AMOUNT",$A$1:$A$3,$A193:$B193,O$3:O$5,"#")*12-SUM($M193:N193),0)</f>
        <v>#REF!</v>
      </c>
      <c r="P193" s="72" t="e">
        <f>IF(P$1&lt;=#REF!,_xll.GetCtData("PKAMOUNT","AMOUNT",$A$1:$A$3,$A193:$B193,P$3:P$5,"#")*12-SUM($M193:O193),0)</f>
        <v>#REF!</v>
      </c>
      <c r="Q193" s="72" t="e">
        <f>IF(Q$1&lt;=#REF!,_xll.GetCtData("PKAMOUNT","AMOUNT",$A$1:$A$3,$A193:$B193,Q$3:Q$5,"#")*12-SUM($M193:P193),0)</f>
        <v>#REF!</v>
      </c>
      <c r="R193" s="72" t="e">
        <f>IF(R$1&lt;=#REF!,_xll.GetCtData("PKAMOUNT","AMOUNT",$A$1:$A$3,$A193:$B193,R$3:R$5,"#")*12-SUM($M193:Q193),0)</f>
        <v>#REF!</v>
      </c>
      <c r="S193" s="72" t="e">
        <f>IF(S$1&lt;=#REF!,_xll.GetCtData("PKAMOUNT","AMOUNT",$A$1:$A$3,$A193:$B193,S$3:S$5,"#")*12-SUM($M193:R193),0)</f>
        <v>#REF!</v>
      </c>
      <c r="T193" s="72" t="e">
        <f>IF(T$1&lt;=#REF!,_xll.GetCtData("PKAMOUNT","AMOUNT",$A$1:$A$3,$A193:$B193,T$3:T$5,"#")*12-SUM($M193:S193),0)</f>
        <v>#REF!</v>
      </c>
      <c r="U193" s="72" t="e">
        <f>IF(U$1&lt;=#REF!,_xll.GetCtData("PKAMOUNT","AMOUNT",$A$1:$A$3,$A193:$B193,U$3:U$5,"#")*12-SUM($M193:T193),0)</f>
        <v>#REF!</v>
      </c>
      <c r="V193" s="72" t="e">
        <f>IF(V$1&lt;=#REF!,_xll.GetCtData("PKAMOUNT","AMOUNT",$A$1:$A$3,$A193:$B193,V$3:V$5,"#")*12-SUM($M193:U193),0)</f>
        <v>#REF!</v>
      </c>
      <c r="W193" s="72" t="e">
        <f>IF(W$1&lt;=#REF!,_xll.GetCtData("PKAMOUNT","AMOUNT",$A$1:$A$3,$A193:$B193,W$3:W$5,"#")*12-SUM($M193:V193),0)</f>
        <v>#REF!</v>
      </c>
      <c r="X193" s="72" t="e">
        <f>IF(X$1&lt;=#REF!,_xll.GetCtData("PKAMOUNT","AMOUNT",$A$1:$A$3,$A193:$B193,X$3:X$5,"#")*12-SUM($M193:W193),0)</f>
        <v>#REF!</v>
      </c>
      <c r="Y193" s="72" t="e">
        <f>_xll.GetCtData("PKAMOUNT","AMOUNT",$A$1:$A$3,$A193:$B193,Y$3:Y$5,"#")*12/#REF!</f>
        <v>#REF!</v>
      </c>
      <c r="Z193" s="34"/>
      <c r="AA193" s="72">
        <f t="shared" si="129"/>
        <v>0</v>
      </c>
      <c r="AB193" s="73" t="e">
        <f t="shared" si="130"/>
        <v>#REF!</v>
      </c>
      <c r="AC193" s="34"/>
      <c r="AD193" s="72">
        <f t="shared" si="131"/>
        <v>0</v>
      </c>
      <c r="AE193" s="73" t="e">
        <f t="shared" si="132"/>
        <v>#REF!</v>
      </c>
    </row>
    <row r="194" spans="1:31" ht="18" hidden="1" customHeight="1" outlineLevel="1" x14ac:dyDescent="0.2">
      <c r="A194" s="30" t="s">
        <v>36</v>
      </c>
      <c r="B194" s="30" t="s">
        <v>245</v>
      </c>
      <c r="C194" s="4"/>
      <c r="D194" s="4"/>
      <c r="F194" s="51" t="s">
        <v>248</v>
      </c>
      <c r="G194" s="34"/>
      <c r="H194" s="72">
        <f>_xll.GetCtData("PKAMOUNT","AMOUNT",$A$1:$A$3,$A194:$B194,H$3:H$5,"#")</f>
        <v>0</v>
      </c>
      <c r="I194" s="72" t="e">
        <f>_xll.GetCtData("PKAMOUNT","AMOUNT",$A$1:$A$3,$A194:$B194,I$3:I$5,"#")*12/#REF!</f>
        <v>#REF!</v>
      </c>
      <c r="J194" s="72">
        <f>_xll.GetCtData("PKAMOUNT","AMOUNT",$A$1:$A$3,$A194:$B194,J$3:J$5,"#")</f>
        <v>0</v>
      </c>
      <c r="K194" s="111">
        <f>_xll.GetCtData("PKAMOUNT","AMOUNT",$A$1:$A$3,$A194:$B194,K$3:K$5,"#")</f>
        <v>0</v>
      </c>
      <c r="L194" s="111">
        <f>_xll.GetCtData("PKAMOUNT","AMOUNT",$A$1:$A$3,$A194:$B194,L$3:L$5,"#")</f>
        <v>0</v>
      </c>
      <c r="M194" s="72">
        <f>_xll.GetCtData("PKAMOUNT","AMOUNT",$A$1:$A$3,$A194:$B194,M$3:M$5,"#")*12</f>
        <v>0</v>
      </c>
      <c r="N194" s="72" t="e">
        <f>IF(N$1&lt;=#REF!,_xll.GetCtData("PKAMOUNT","AMOUNT",$A$1:$A$3,$A194:$B194,N$3:N$5,"#")*12-SUM($M194:M194),0)</f>
        <v>#REF!</v>
      </c>
      <c r="O194" s="72" t="e">
        <f>IF(O$1&lt;=#REF!,_xll.GetCtData("PKAMOUNT","AMOUNT",$A$1:$A$3,$A194:$B194,O$3:O$5,"#")*12-SUM($M194:N194),0)</f>
        <v>#REF!</v>
      </c>
      <c r="P194" s="72" t="e">
        <f>IF(P$1&lt;=#REF!,_xll.GetCtData("PKAMOUNT","AMOUNT",$A$1:$A$3,$A194:$B194,P$3:P$5,"#")*12-SUM($M194:O194),0)</f>
        <v>#REF!</v>
      </c>
      <c r="Q194" s="72" t="e">
        <f>IF(Q$1&lt;=#REF!,_xll.GetCtData("PKAMOUNT","AMOUNT",$A$1:$A$3,$A194:$B194,Q$3:Q$5,"#")*12-SUM($M194:P194),0)</f>
        <v>#REF!</v>
      </c>
      <c r="R194" s="72" t="e">
        <f>IF(R$1&lt;=#REF!,_xll.GetCtData("PKAMOUNT","AMOUNT",$A$1:$A$3,$A194:$B194,R$3:R$5,"#")*12-SUM($M194:Q194),0)</f>
        <v>#REF!</v>
      </c>
      <c r="S194" s="72" t="e">
        <f>IF(S$1&lt;=#REF!,_xll.GetCtData("PKAMOUNT","AMOUNT",$A$1:$A$3,$A194:$B194,S$3:S$5,"#")*12-SUM($M194:R194),0)</f>
        <v>#REF!</v>
      </c>
      <c r="T194" s="72" t="e">
        <f>IF(T$1&lt;=#REF!,_xll.GetCtData("PKAMOUNT","AMOUNT",$A$1:$A$3,$A194:$B194,T$3:T$5,"#")*12-SUM($M194:S194),0)</f>
        <v>#REF!</v>
      </c>
      <c r="U194" s="72" t="e">
        <f>IF(U$1&lt;=#REF!,_xll.GetCtData("PKAMOUNT","AMOUNT",$A$1:$A$3,$A194:$B194,U$3:U$5,"#")*12-SUM($M194:T194),0)</f>
        <v>#REF!</v>
      </c>
      <c r="V194" s="72" t="e">
        <f>IF(V$1&lt;=#REF!,_xll.GetCtData("PKAMOUNT","AMOUNT",$A$1:$A$3,$A194:$B194,V$3:V$5,"#")*12-SUM($M194:U194),0)</f>
        <v>#REF!</v>
      </c>
      <c r="W194" s="72" t="e">
        <f>IF(W$1&lt;=#REF!,_xll.GetCtData("PKAMOUNT","AMOUNT",$A$1:$A$3,$A194:$B194,W$3:W$5,"#")*12-SUM($M194:V194),0)</f>
        <v>#REF!</v>
      </c>
      <c r="X194" s="72" t="e">
        <f>IF(X$1&lt;=#REF!,_xll.GetCtData("PKAMOUNT","AMOUNT",$A$1:$A$3,$A194:$B194,X$3:X$5,"#")*12-SUM($M194:W194),0)</f>
        <v>#REF!</v>
      </c>
      <c r="Y194" s="72" t="e">
        <f>_xll.GetCtData("PKAMOUNT","AMOUNT",$A$1:$A$3,$A194:$B194,Y$3:Y$5,"#")*12/#REF!</f>
        <v>#REF!</v>
      </c>
      <c r="Z194" s="34"/>
      <c r="AA194" s="72">
        <f t="shared" si="129"/>
        <v>0</v>
      </c>
      <c r="AB194" s="73" t="e">
        <f t="shared" si="130"/>
        <v>#REF!</v>
      </c>
      <c r="AC194" s="34"/>
      <c r="AD194" s="72">
        <f t="shared" si="131"/>
        <v>0</v>
      </c>
      <c r="AE194" s="73" t="e">
        <f t="shared" si="132"/>
        <v>#REF!</v>
      </c>
    </row>
    <row r="195" spans="1:31" ht="18" customHeight="1" collapsed="1" x14ac:dyDescent="0.2">
      <c r="A195" s="30" t="s">
        <v>36</v>
      </c>
      <c r="B195" s="30" t="s">
        <v>22</v>
      </c>
      <c r="C195" s="4"/>
      <c r="D195" s="4"/>
      <c r="F195" s="97" t="s">
        <v>250</v>
      </c>
      <c r="H195" s="74">
        <f>_xll.GetCtData("PKAMOUNT","AMOUNT",$A$1:$A$3,$A195:$B195,H$3:H$5,"#")</f>
        <v>0</v>
      </c>
      <c r="I195" s="74" t="e">
        <f>_xll.GetCtData("PKAMOUNT","AMOUNT",$A$1:$A$3,$A195:$B195,I$3:I$5,"#")*12/#REF!</f>
        <v>#REF!</v>
      </c>
      <c r="J195" s="74">
        <f>_xll.GetCtData("PKAMOUNT","AMOUNT",$A$1:$A$3,$A195:$B195,J$3:J$5,"#")</f>
        <v>0</v>
      </c>
      <c r="K195" s="112">
        <f>_xll.GetCtData("PKAMOUNT","AMOUNT",$A$1:$A$3,$A195:$B195,K$3:K$5,"#")</f>
        <v>0</v>
      </c>
      <c r="L195" s="112">
        <f>_xll.GetCtData("PKAMOUNT","AMOUNT",$A$1:$A$3,$A195:$B195,L$3:L$5,"#")</f>
        <v>0</v>
      </c>
      <c r="M195" s="74">
        <f>_xll.GetCtData("PKAMOUNT","AMOUNT",$A$1:$A$3,$A195:$B195,M$3:M$5,"#")*12</f>
        <v>0</v>
      </c>
      <c r="N195" s="74" t="e">
        <f>IF(N$1&lt;=#REF!,_xll.GetCtData("PKAMOUNT","AMOUNT",$A$1:$A$3,$A195:$B195,N$3:N$5,"#")*12-SUM($M195:M195),0)</f>
        <v>#REF!</v>
      </c>
      <c r="O195" s="74" t="e">
        <f>IF(O$1&lt;=#REF!,_xll.GetCtData("PKAMOUNT","AMOUNT",$A$1:$A$3,$A195:$B195,O$3:O$5,"#")*12-SUM($M195:N195),0)</f>
        <v>#REF!</v>
      </c>
      <c r="P195" s="74" t="e">
        <f>IF(P$1&lt;=#REF!,_xll.GetCtData("PKAMOUNT","AMOUNT",$A$1:$A$3,$A195:$B195,P$3:P$5,"#")*12-SUM($M195:O195),0)</f>
        <v>#REF!</v>
      </c>
      <c r="Q195" s="74" t="e">
        <f>IF(Q$1&lt;=#REF!,_xll.GetCtData("PKAMOUNT","AMOUNT",$A$1:$A$3,$A195:$B195,Q$3:Q$5,"#")*12-SUM($M195:P195),0)</f>
        <v>#REF!</v>
      </c>
      <c r="R195" s="74" t="e">
        <f>IF(R$1&lt;=#REF!,_xll.GetCtData("PKAMOUNT","AMOUNT",$A$1:$A$3,$A195:$B195,R$3:R$5,"#")*12-SUM($M195:Q195),0)</f>
        <v>#REF!</v>
      </c>
      <c r="S195" s="74" t="e">
        <f>IF(S$1&lt;=#REF!,_xll.GetCtData("PKAMOUNT","AMOUNT",$A$1:$A$3,$A195:$B195,S$3:S$5,"#")*12-SUM($M195:R195),0)</f>
        <v>#REF!</v>
      </c>
      <c r="T195" s="74" t="e">
        <f>IF(T$1&lt;=#REF!,_xll.GetCtData("PKAMOUNT","AMOUNT",$A$1:$A$3,$A195:$B195,T$3:T$5,"#")*12-SUM($M195:S195),0)</f>
        <v>#REF!</v>
      </c>
      <c r="U195" s="74" t="e">
        <f>IF(U$1&lt;=#REF!,_xll.GetCtData("PKAMOUNT","AMOUNT",$A$1:$A$3,$A195:$B195,U$3:U$5,"#")*12-SUM($M195:T195),0)</f>
        <v>#REF!</v>
      </c>
      <c r="V195" s="74" t="e">
        <f>IF(V$1&lt;=#REF!,_xll.GetCtData("PKAMOUNT","AMOUNT",$A$1:$A$3,$A195:$B195,V$3:V$5,"#")*12-SUM($M195:U195),0)</f>
        <v>#REF!</v>
      </c>
      <c r="W195" s="74" t="e">
        <f>IF(W$1&lt;=#REF!,_xll.GetCtData("PKAMOUNT","AMOUNT",$A$1:$A$3,$A195:$B195,W$3:W$5,"#")*12-SUM($M195:V195),0)</f>
        <v>#REF!</v>
      </c>
      <c r="X195" s="74" t="e">
        <f>IF(X$1&lt;=#REF!,_xll.GetCtData("PKAMOUNT","AMOUNT",$A$1:$A$3,$A195:$B195,X$3:X$5,"#")*12-SUM($M195:W195),0)</f>
        <v>#REF!</v>
      </c>
      <c r="Y195" s="74" t="e">
        <f>_xll.GetCtData("PKAMOUNT","AMOUNT",$A$1:$A$3,$A195:$B195,Y$3:Y$5,"#")*12/#REF!</f>
        <v>#REF!</v>
      </c>
      <c r="AA195" s="74">
        <f t="shared" si="129"/>
        <v>0</v>
      </c>
      <c r="AB195" s="73" t="e">
        <f t="shared" si="130"/>
        <v>#REF!</v>
      </c>
      <c r="AD195" s="74">
        <f t="shared" si="131"/>
        <v>0</v>
      </c>
      <c r="AE195" s="73" t="e">
        <f t="shared" si="132"/>
        <v>#REF!</v>
      </c>
    </row>
    <row r="196" spans="1:31" ht="18" hidden="1" customHeight="1" outlineLevel="1" collapsed="1" x14ac:dyDescent="0.2">
      <c r="A196" s="33" t="s">
        <v>211</v>
      </c>
      <c r="B196" s="33" t="s">
        <v>22</v>
      </c>
      <c r="C196" s="4"/>
      <c r="D196" s="4"/>
      <c r="F196" s="98" t="s">
        <v>212</v>
      </c>
      <c r="G196" s="34"/>
      <c r="H196" s="75">
        <f>IF(_xll.GetCtData("PKAMOUNT","AMOUNT",$A$1:$A$3,$A196:$B196,H$3:H$5,"#")=0,H195,_xll.GetCtData("PKAMOUNT","AMOUNT",$A$1:$A$3,$A196:$B196,H$3:H$5,"#"))</f>
        <v>0</v>
      </c>
      <c r="I196" s="75" t="e">
        <f>IF(_xll.GetCtData("PKAMOUNT","AMOUNT",$A$1:$A$3,$A196:$B196,I$3:I$5,"#")*12/#REF!=0,I195,_xll.GetCtData("PKAMOUNT","AMOUNT",$A$1:$A$3,$A196:$B196,I$3:I$5,"#")*12/#REF!)</f>
        <v>#REF!</v>
      </c>
      <c r="J196" s="75">
        <f>IF(_xll.GetCtData("PKAMOUNT","AMOUNT",$A$1:$A$3,$A196:$B196,J$3:J$5,"#")=0,J195,_xll.GetCtData("PKAMOUNT","AMOUNT",$A$1:$A$3,$A196:$B196,J$3:J$5,"#"))</f>
        <v>0</v>
      </c>
      <c r="K196" s="112">
        <f>IF(_xll.GetCtData("PKAMOUNT","AMOUNT",$A$1:$A$3,$A196:$B196,K$3:K$5,"#")=0,K195,_xll.GetCtData("PKAMOUNT","AMOUNT",$A$1:$A$3,$A196:$B196,K$3:K$5,"#"))</f>
        <v>0</v>
      </c>
      <c r="L196" s="112">
        <f>IF(_xll.GetCtData("PKAMOUNT","AMOUNT",$A$1:$A$3,$A196:$B196,L$3:L$5,"#")=0,L195,_xll.GetCtData("PKAMOUNT","AMOUNT",$A$1:$A$3,$A196:$B196,L$3:L$5,"#"))</f>
        <v>0</v>
      </c>
      <c r="M196" s="75">
        <f>IF(_xll.GetCtData("PKAMOUNT","AMOUNT",$A$1:$A$3,$A196:$B196,M$3:M$5,"#")*12=0,M195,_xll.GetCtData("PKAMOUNT","AMOUNT",$A$1:$A$3,$A196:$B196,M$3:M$5,"#")*12)</f>
        <v>0</v>
      </c>
      <c r="N196" s="75" t="e">
        <f>IF(N$1&lt;=#REF!,_xll.GetCtData("PKAMOUNT","AMOUNT",$A$1:$A$3,$A196:$B196,N$3:N$5,"#")*12-SUM($M196:M196),0)</f>
        <v>#REF!</v>
      </c>
      <c r="O196" s="75" t="e">
        <f>IF(O$1&lt;=#REF!,_xll.GetCtData("PKAMOUNT","AMOUNT",$A$1:$A$3,$A196:$B196,O$3:O$5,"#")*12-SUM($M196:N196),0)</f>
        <v>#REF!</v>
      </c>
      <c r="P196" s="75" t="e">
        <f>IF(P$1&lt;=#REF!,_xll.GetCtData("PKAMOUNT","AMOUNT",$A$1:$A$3,$A196:$B196,P$3:P$5,"#")*12-SUM($M196:O196),0)</f>
        <v>#REF!</v>
      </c>
      <c r="Q196" s="75" t="e">
        <f>IF(Q$1&lt;=#REF!,_xll.GetCtData("PKAMOUNT","AMOUNT",$A$1:$A$3,$A196:$B196,Q$3:Q$5,"#")*12-SUM($M196:P196),0)</f>
        <v>#REF!</v>
      </c>
      <c r="R196" s="75" t="e">
        <f>IF(R$1&lt;=#REF!,_xll.GetCtData("PKAMOUNT","AMOUNT",$A$1:$A$3,$A196:$B196,R$3:R$5,"#")*12-SUM($M196:Q196),0)</f>
        <v>#REF!</v>
      </c>
      <c r="S196" s="75" t="e">
        <f>IF(S$1&lt;=#REF!,_xll.GetCtData("PKAMOUNT","AMOUNT",$A$1:$A$3,$A196:$B196,S$3:S$5,"#")*12-SUM($M196:R196),0)</f>
        <v>#REF!</v>
      </c>
      <c r="T196" s="75" t="e">
        <f>IF(T$1&lt;=#REF!,_xll.GetCtData("PKAMOUNT","AMOUNT",$A$1:$A$3,$A196:$B196,T$3:T$5,"#")*12-SUM($M196:S196),0)</f>
        <v>#REF!</v>
      </c>
      <c r="U196" s="75" t="e">
        <f>IF(U$1&lt;=#REF!,_xll.GetCtData("PKAMOUNT","AMOUNT",$A$1:$A$3,$A196:$B196,U$3:U$5,"#")*12-SUM($M196:T196),0)</f>
        <v>#REF!</v>
      </c>
      <c r="V196" s="75" t="e">
        <f>IF(V$1&lt;=#REF!,_xll.GetCtData("PKAMOUNT","AMOUNT",$A$1:$A$3,$A196:$B196,V$3:V$5,"#")*12-SUM($M196:U196),0)</f>
        <v>#REF!</v>
      </c>
      <c r="W196" s="75" t="e">
        <f>IF(W$1&lt;=#REF!,_xll.GetCtData("PKAMOUNT","AMOUNT",$A$1:$A$3,$A196:$B196,W$3:W$5,"#")*12-SUM($M196:V196),0)</f>
        <v>#REF!</v>
      </c>
      <c r="X196" s="75" t="e">
        <f>IF(X$1&lt;=#REF!,_xll.GetCtData("PKAMOUNT","AMOUNT",$A$1:$A$3,$A196:$B196,X$3:X$5,"#")*12-SUM($M196:W196),0)</f>
        <v>#REF!</v>
      </c>
      <c r="Y196" s="75" t="e">
        <f>_xll.GetCtData("PKAMOUNT","AMOUNT",$A$1:$A$3,$A196:$B196,Y$3:Y$5,"#")*12/#REF!</f>
        <v>#REF!</v>
      </c>
      <c r="Z196" s="34"/>
      <c r="AA196" s="75">
        <f t="shared" si="129"/>
        <v>0</v>
      </c>
      <c r="AB196" s="76" t="e">
        <f t="shared" si="130"/>
        <v>#REF!</v>
      </c>
      <c r="AC196" s="34"/>
      <c r="AD196" s="75">
        <f t="shared" si="131"/>
        <v>0</v>
      </c>
      <c r="AE196" s="76" t="e">
        <f t="shared" si="132"/>
        <v>#REF!</v>
      </c>
    </row>
    <row r="197" spans="1:31" ht="18" hidden="1" customHeight="1" outlineLevel="1" collapsed="1" x14ac:dyDescent="0.2">
      <c r="A197" s="35"/>
      <c r="B197" s="35"/>
      <c r="C197" s="4"/>
      <c r="D197" s="4"/>
      <c r="F197" s="97" t="s">
        <v>251</v>
      </c>
      <c r="H197" s="74">
        <f t="shared" ref="H197:Y197" si="133">H196-H195</f>
        <v>0</v>
      </c>
      <c r="I197" s="74" t="e">
        <f t="shared" si="133"/>
        <v>#REF!</v>
      </c>
      <c r="J197" s="74">
        <f t="shared" si="133"/>
        <v>0</v>
      </c>
      <c r="K197" s="112">
        <f t="shared" si="133"/>
        <v>0</v>
      </c>
      <c r="L197" s="112">
        <f t="shared" si="133"/>
        <v>0</v>
      </c>
      <c r="M197" s="74">
        <f t="shared" si="133"/>
        <v>0</v>
      </c>
      <c r="N197" s="74" t="e">
        <f t="shared" si="133"/>
        <v>#REF!</v>
      </c>
      <c r="O197" s="74" t="e">
        <f t="shared" si="133"/>
        <v>#REF!</v>
      </c>
      <c r="P197" s="74" t="e">
        <f t="shared" si="133"/>
        <v>#REF!</v>
      </c>
      <c r="Q197" s="74" t="e">
        <f t="shared" si="133"/>
        <v>#REF!</v>
      </c>
      <c r="R197" s="74" t="e">
        <f t="shared" si="133"/>
        <v>#REF!</v>
      </c>
      <c r="S197" s="74" t="e">
        <f t="shared" ref="S197:T197" si="134">S196-S195</f>
        <v>#REF!</v>
      </c>
      <c r="T197" s="74" t="e">
        <f t="shared" si="134"/>
        <v>#REF!</v>
      </c>
      <c r="U197" s="74" t="e">
        <f t="shared" si="133"/>
        <v>#REF!</v>
      </c>
      <c r="V197" s="74" t="e">
        <f t="shared" si="133"/>
        <v>#REF!</v>
      </c>
      <c r="W197" s="74" t="e">
        <f t="shared" si="133"/>
        <v>#REF!</v>
      </c>
      <c r="X197" s="74" t="e">
        <f t="shared" si="133"/>
        <v>#REF!</v>
      </c>
      <c r="Y197" s="74" t="e">
        <f t="shared" si="133"/>
        <v>#REF!</v>
      </c>
      <c r="AA197" s="74">
        <f t="shared" si="129"/>
        <v>0</v>
      </c>
      <c r="AB197" s="73" t="e">
        <f t="shared" si="130"/>
        <v>#REF!</v>
      </c>
      <c r="AD197" s="74">
        <f t="shared" si="131"/>
        <v>0</v>
      </c>
      <c r="AE197" s="73" t="e">
        <f t="shared" si="132"/>
        <v>#REF!</v>
      </c>
    </row>
    <row r="198" spans="1:31" ht="12.95" hidden="1" customHeight="1" outlineLevel="1" x14ac:dyDescent="0.2">
      <c r="A198" s="35"/>
      <c r="B198" s="35"/>
      <c r="C198" s="4"/>
      <c r="D198" s="4"/>
      <c r="F198" s="39" t="s">
        <v>37</v>
      </c>
      <c r="H198" s="68">
        <f>IF((H195+H197)=0,0,H197/(H195+H197))</f>
        <v>0</v>
      </c>
      <c r="I198" s="68" t="e">
        <f t="shared" ref="I198:Y198" si="135">IF((I195+I197)=0,0,I197/(I195+I197))</f>
        <v>#REF!</v>
      </c>
      <c r="J198" s="68">
        <f t="shared" si="135"/>
        <v>0</v>
      </c>
      <c r="K198" s="113">
        <f t="shared" si="135"/>
        <v>0</v>
      </c>
      <c r="L198" s="113">
        <f t="shared" si="135"/>
        <v>0</v>
      </c>
      <c r="M198" s="68">
        <f t="shared" si="135"/>
        <v>0</v>
      </c>
      <c r="N198" s="68" t="e">
        <f t="shared" si="135"/>
        <v>#REF!</v>
      </c>
      <c r="O198" s="68" t="e">
        <f t="shared" si="135"/>
        <v>#REF!</v>
      </c>
      <c r="P198" s="68" t="e">
        <f t="shared" si="135"/>
        <v>#REF!</v>
      </c>
      <c r="Q198" s="68" t="e">
        <f t="shared" si="135"/>
        <v>#REF!</v>
      </c>
      <c r="R198" s="68" t="e">
        <f t="shared" si="135"/>
        <v>#REF!</v>
      </c>
      <c r="S198" s="68" t="e">
        <f t="shared" ref="S198:T198" si="136">IF((S195+S197)=0,0,S197/(S195+S197))</f>
        <v>#REF!</v>
      </c>
      <c r="T198" s="68" t="e">
        <f t="shared" si="136"/>
        <v>#REF!</v>
      </c>
      <c r="U198" s="68" t="e">
        <f t="shared" si="135"/>
        <v>#REF!</v>
      </c>
      <c r="V198" s="68" t="e">
        <f t="shared" si="135"/>
        <v>#REF!</v>
      </c>
      <c r="W198" s="68" t="e">
        <f t="shared" si="135"/>
        <v>#REF!</v>
      </c>
      <c r="X198" s="68" t="e">
        <f t="shared" si="135"/>
        <v>#REF!</v>
      </c>
      <c r="Y198" s="68" t="e">
        <f t="shared" si="135"/>
        <v>#REF!</v>
      </c>
      <c r="AA198" s="68">
        <f t="shared" ref="AA198" si="137">IF((AA195+AA197)=0,0,AA197/(AA195+AA197))</f>
        <v>0</v>
      </c>
      <c r="AB198" s="69"/>
      <c r="AD198" s="68">
        <f t="shared" ref="AD198" si="138">IF((AD195+AD197)=0,0,AD197/(AD195+AD197))</f>
        <v>0</v>
      </c>
      <c r="AE198" s="69"/>
    </row>
    <row r="199" spans="1:31" ht="18" customHeight="1" collapsed="1" x14ac:dyDescent="0.2">
      <c r="A199" s="30" t="s">
        <v>220</v>
      </c>
      <c r="B199" s="30" t="s">
        <v>22</v>
      </c>
      <c r="C199" s="4" t="e">
        <f t="shared" ref="C199:C204" si="139">IF(AND($Y199=0,AA199=0),0,IF(AA199=0,IF($Y199&gt;=0,AB199/$Y199,-AB199/$Y199),IF(AA199&gt;=0,AB199/AA199,-AB199/AA199)))</f>
        <v>#REF!</v>
      </c>
      <c r="D199" s="4" t="e">
        <f t="shared" ref="D199:D204" si="140">IF(AND($Y199=0,AD199=0),0,IF(AD199=0,IF($Y199&gt;=0,AE199/$Y199,-AE199/$Y199),IF(AD199&gt;=0,AE199/AD199,-AE199/AD199)))</f>
        <v>#REF!</v>
      </c>
      <c r="F199" s="106" t="s">
        <v>66</v>
      </c>
      <c r="H199" s="61">
        <f>_xll.GetCtData("PKAMOUNT","AMOUNT",$A$1:$A$3,$A199:$B199,H$3:H$5,"#")</f>
        <v>0</v>
      </c>
      <c r="I199" s="61">
        <f>_xll.GetCtData("PKAMOUNT","AMOUNT",$A$1:$A$3,$A199:$B199,I$3:I$5,"#")</f>
        <v>0</v>
      </c>
      <c r="J199" s="61">
        <f>_xll.GetCtData("PKAMOUNT","AMOUNT",$A$1:$A$3,$A199:$B199,J$3:J$5,"#")</f>
        <v>0</v>
      </c>
      <c r="K199" s="86">
        <f>_xll.GetCtData("PKAMOUNT","AMOUNT",$A$1:$A$3,$A199:$B199,K$3:K$5,"#")</f>
        <v>0</v>
      </c>
      <c r="L199" s="86">
        <f>_xll.GetCtData("PKAMOUNT","AMOUNT",$A$1:$A$3,$A199:$B199,L$3:L$5,"#")</f>
        <v>0</v>
      </c>
      <c r="M199" s="61">
        <f>_xll.GetCtData("PKAMOUNT","AMOUNT",$A$1:$A$3,$A199:$B199,M$3:M$5,"#")</f>
        <v>0</v>
      </c>
      <c r="N199" s="61" t="e">
        <f>IF(N$1&lt;=#REF!,_xll.GetCtData("PKAMOUNT","AMOUNT",$A$1:$A$3,$A199:$B199,N$3:N$5,"#")-SUM($M199:M199),0)</f>
        <v>#REF!</v>
      </c>
      <c r="O199" s="61" t="e">
        <f>IF(O$1&lt;=#REF!,_xll.GetCtData("PKAMOUNT","AMOUNT",$A$1:$A$3,$A199:$B199,O$3:O$5,"#")-SUM($M199:N199),0)</f>
        <v>#REF!</v>
      </c>
      <c r="P199" s="61" t="e">
        <f>IF(P$1&lt;=#REF!,_xll.GetCtData("PKAMOUNT","AMOUNT",$A$1:$A$3,$A199:$B199,P$3:P$5,"#")-SUM($M199:O199),0)</f>
        <v>#REF!</v>
      </c>
      <c r="Q199" s="61" t="e">
        <f>IF(Q$1&lt;=#REF!,_xll.GetCtData("PKAMOUNT","AMOUNT",$A$1:$A$3,$A199:$B199,Q$3:Q$5,"#")-SUM($M199:P199),0)</f>
        <v>#REF!</v>
      </c>
      <c r="R199" s="61" t="e">
        <f>IF(R$1&lt;=#REF!,_xll.GetCtData("PKAMOUNT","AMOUNT",$A$1:$A$3,$A199:$B199,R$3:R$5,"#")-SUM($M199:Q199),0)</f>
        <v>#REF!</v>
      </c>
      <c r="S199" s="61" t="e">
        <f>IF(S$1&lt;=#REF!,_xll.GetCtData("PKAMOUNT","AMOUNT",$A$1:$A$3,$A199:$B199,S$3:S$5,"#")-SUM($M199:R199),0)</f>
        <v>#REF!</v>
      </c>
      <c r="T199" s="61" t="e">
        <f>IF(T$1&lt;=#REF!,_xll.GetCtData("PKAMOUNT","AMOUNT",$A$1:$A$3,$A199:$B199,T$3:T$5,"#")-SUM($M199:S199),0)</f>
        <v>#REF!</v>
      </c>
      <c r="U199" s="61" t="e">
        <f>IF(U$1&lt;=#REF!,_xll.GetCtData("PKAMOUNT","AMOUNT",$A$1:$A$3,$A199:$B199,U$3:U$5,"#")-SUM($M199:T199),0)</f>
        <v>#REF!</v>
      </c>
      <c r="V199" s="61" t="e">
        <f>IF(V$1&lt;=#REF!,_xll.GetCtData("PKAMOUNT","AMOUNT",$A$1:$A$3,$A199:$B199,V$3:V$5,"#")-SUM($M199:U199),0)</f>
        <v>#REF!</v>
      </c>
      <c r="W199" s="61" t="e">
        <f>IF(W$1&lt;=#REF!,_xll.GetCtData("PKAMOUNT","AMOUNT",$A$1:$A$3,$A199:$B199,W$3:W$5,"#")-SUM($M199:V199),0)</f>
        <v>#REF!</v>
      </c>
      <c r="X199" s="61" t="e">
        <f>IF(X$1&lt;=#REF!,_xll.GetCtData("PKAMOUNT","AMOUNT",$A$1:$A$3,$A199:$B199,X$3:X$5,"#")-SUM($M199:W199),0)</f>
        <v>#REF!</v>
      </c>
      <c r="Y199" s="61">
        <f>_xll.GetCtData("PKAMOUNT","AMOUNT",$A$1:$A$3,$A199:$B199,Y$3:Y$5,"#")</f>
        <v>0</v>
      </c>
      <c r="AA199" s="61" t="e">
        <f>$K199*#REF!/12</f>
        <v>#REF!</v>
      </c>
      <c r="AB199" s="60" t="e">
        <f t="shared" ref="AB199:AB207" si="141">ROUND($Y199-AA199,2)</f>
        <v>#REF!</v>
      </c>
      <c r="AD199" s="61" t="e">
        <f>$L199*#REF!/12</f>
        <v>#REF!</v>
      </c>
      <c r="AE199" s="60" t="e">
        <f t="shared" ref="AE199:AE207" si="142">ROUND($Y199-AD199,2)</f>
        <v>#REF!</v>
      </c>
    </row>
    <row r="200" spans="1:31" ht="18" customHeight="1" x14ac:dyDescent="0.2">
      <c r="A200" s="30" t="s">
        <v>218</v>
      </c>
      <c r="B200" s="30" t="s">
        <v>22</v>
      </c>
      <c r="C200" s="4" t="e">
        <f t="shared" si="139"/>
        <v>#REF!</v>
      </c>
      <c r="D200" s="4" t="e">
        <f t="shared" si="140"/>
        <v>#REF!</v>
      </c>
      <c r="F200" s="104" t="s">
        <v>219</v>
      </c>
      <c r="G200" s="36"/>
      <c r="H200" s="65">
        <f>_xll.GetCtData("PKAMOUNT","AMOUNT",$A$1:$A$3,$A200:$B200,H$3:H$5,"#")</f>
        <v>0</v>
      </c>
      <c r="I200" s="65">
        <f>_xll.GetCtData("PKAMOUNT","AMOUNT",$A$1:$A$3,$A200:$B200,I$3:I$5,"#")</f>
        <v>0</v>
      </c>
      <c r="J200" s="65">
        <f>_xll.GetCtData("PKAMOUNT","AMOUNT",$A$1:$A$3,$A200:$B200,J$3:J$5,"#")</f>
        <v>0</v>
      </c>
      <c r="K200" s="65">
        <f>_xll.GetCtData("PKAMOUNT","AMOUNT",$A$1:$A$3,$A200:$B200,K$3:K$5,"#")</f>
        <v>0</v>
      </c>
      <c r="L200" s="65">
        <f>_xll.GetCtData("PKAMOUNT","AMOUNT",$A$1:$A$3,$A200:$B200,L$3:L$5,"#")</f>
        <v>0</v>
      </c>
      <c r="M200" s="65">
        <f>_xll.GetCtData("PKAMOUNT","AMOUNT",$A$1:$A$3,$A200:$B200,M$3:M$5,"#")</f>
        <v>0</v>
      </c>
      <c r="N200" s="65" t="e">
        <f>IF(N$1&lt;=#REF!,_xll.GetCtData("PKAMOUNT","AMOUNT",$A$1:$A$3,$A200:$B200,N$3:N$5,"#")-SUM($M200:M200),0)</f>
        <v>#REF!</v>
      </c>
      <c r="O200" s="65" t="e">
        <f>IF(O$1&lt;=#REF!,_xll.GetCtData("PKAMOUNT","AMOUNT",$A$1:$A$3,$A200:$B200,O$3:O$5,"#")-SUM($M200:N200),0)</f>
        <v>#REF!</v>
      </c>
      <c r="P200" s="65" t="e">
        <f>IF(P$1&lt;=#REF!,_xll.GetCtData("PKAMOUNT","AMOUNT",$A$1:$A$3,$A200:$B200,P$3:P$5,"#")-SUM($M200:O200),0)</f>
        <v>#REF!</v>
      </c>
      <c r="Q200" s="65" t="e">
        <f>IF(Q$1&lt;=#REF!,_xll.GetCtData("PKAMOUNT","AMOUNT",$A$1:$A$3,$A200:$B200,Q$3:Q$5,"#")-SUM($M200:P200),0)</f>
        <v>#REF!</v>
      </c>
      <c r="R200" s="65" t="e">
        <f>IF(R$1&lt;=#REF!,_xll.GetCtData("PKAMOUNT","AMOUNT",$A$1:$A$3,$A200:$B200,R$3:R$5,"#")-SUM($M200:Q200),0)</f>
        <v>#REF!</v>
      </c>
      <c r="S200" s="65" t="e">
        <f>IF(S$1&lt;=#REF!,_xll.GetCtData("PKAMOUNT","AMOUNT",$A$1:$A$3,$A200:$B200,S$3:S$5,"#")-SUM($M200:R200),0)</f>
        <v>#REF!</v>
      </c>
      <c r="T200" s="65" t="e">
        <f>IF(T$1&lt;=#REF!,_xll.GetCtData("PKAMOUNT","AMOUNT",$A$1:$A$3,$A200:$B200,T$3:T$5,"#")-SUM($M200:S200),0)</f>
        <v>#REF!</v>
      </c>
      <c r="U200" s="65" t="e">
        <f>IF(U$1&lt;=#REF!,_xll.GetCtData("PKAMOUNT","AMOUNT",$A$1:$A$3,$A200:$B200,U$3:U$5,"#")-SUM($M200:T200),0)</f>
        <v>#REF!</v>
      </c>
      <c r="V200" s="65" t="e">
        <f>IF(V$1&lt;=#REF!,_xll.GetCtData("PKAMOUNT","AMOUNT",$A$1:$A$3,$A200:$B200,V$3:V$5,"#")-SUM($M200:U200),0)</f>
        <v>#REF!</v>
      </c>
      <c r="W200" s="65" t="e">
        <f>IF(W$1&lt;=#REF!,_xll.GetCtData("PKAMOUNT","AMOUNT",$A$1:$A$3,$A200:$B200,W$3:W$5,"#")-SUM($M200:V200),0)</f>
        <v>#REF!</v>
      </c>
      <c r="X200" s="65" t="e">
        <f>IF(X$1&lt;=#REF!,_xll.GetCtData("PKAMOUNT","AMOUNT",$A$1:$A$3,$A200:$B200,X$3:X$5,"#")-SUM($M200:W200),0)</f>
        <v>#REF!</v>
      </c>
      <c r="Y200" s="65">
        <f>_xll.GetCtData("PKAMOUNT","AMOUNT",$A$1:$A$3,$A200:$B200,Y$3:Y$5,"#")</f>
        <v>0</v>
      </c>
      <c r="Z200" s="36"/>
      <c r="AA200" s="65" t="e">
        <f>$K200*#REF!/12</f>
        <v>#REF!</v>
      </c>
      <c r="AB200" s="60" t="e">
        <f t="shared" si="141"/>
        <v>#REF!</v>
      </c>
      <c r="AC200" s="36"/>
      <c r="AD200" s="65" t="e">
        <f>$L200*#REF!/12</f>
        <v>#REF!</v>
      </c>
      <c r="AE200" s="60" t="e">
        <f t="shared" si="142"/>
        <v>#REF!</v>
      </c>
    </row>
    <row r="201" spans="1:31" ht="18" customHeight="1" x14ac:dyDescent="0.2">
      <c r="A201" s="30" t="s">
        <v>34</v>
      </c>
      <c r="B201" s="30" t="s">
        <v>22</v>
      </c>
      <c r="C201" s="4" t="e">
        <f t="shared" si="139"/>
        <v>#REF!</v>
      </c>
      <c r="D201" s="4" t="e">
        <f t="shared" si="140"/>
        <v>#REF!</v>
      </c>
      <c r="F201" s="106" t="s">
        <v>57</v>
      </c>
      <c r="H201" s="61">
        <f>_xll.GetCtData("PKAMOUNT","AMOUNT",$A$1:$A$3,$A201:$B201,H$3:H$5,"#")</f>
        <v>0</v>
      </c>
      <c r="I201" s="61">
        <f>_xll.GetCtData("PKAMOUNT","AMOUNT",$A$1:$A$3,$A201:$B201,I$3:I$5,"#")</f>
        <v>0</v>
      </c>
      <c r="J201" s="61">
        <f>_xll.GetCtData("PKAMOUNT","AMOUNT",$A$1:$A$3,$A201:$B201,J$3:J$5,"#")</f>
        <v>0</v>
      </c>
      <c r="K201" s="86">
        <f>_xll.GetCtData("PKAMOUNT","AMOUNT",$A$1:$A$3,$A201:$B201,K$3:K$5,"#")</f>
        <v>0</v>
      </c>
      <c r="L201" s="86">
        <f>_xll.GetCtData("PKAMOUNT","AMOUNT",$A$1:$A$3,$A201:$B201,L$3:L$5,"#")</f>
        <v>0</v>
      </c>
      <c r="M201" s="61">
        <f>_xll.GetCtData("PKAMOUNT","AMOUNT",$A$1:$A$3,$A201:$B201,M$3:M$5,"#")</f>
        <v>0</v>
      </c>
      <c r="N201" s="61" t="e">
        <f>IF(N$1&lt;=#REF!,_xll.GetCtData("PKAMOUNT","AMOUNT",$A$1:$A$3,$A201:$B201,N$3:N$5,"#")-SUM($M201:M201),0)</f>
        <v>#REF!</v>
      </c>
      <c r="O201" s="61" t="e">
        <f>IF(O$1&lt;=#REF!,_xll.GetCtData("PKAMOUNT","AMOUNT",$A$1:$A$3,$A201:$B201,O$3:O$5,"#")-SUM($M201:N201),0)</f>
        <v>#REF!</v>
      </c>
      <c r="P201" s="61" t="e">
        <f>IF(P$1&lt;=#REF!,_xll.GetCtData("PKAMOUNT","AMOUNT",$A$1:$A$3,$A201:$B201,P$3:P$5,"#")-SUM($M201:O201),0)</f>
        <v>#REF!</v>
      </c>
      <c r="Q201" s="61" t="e">
        <f>IF(Q$1&lt;=#REF!,_xll.GetCtData("PKAMOUNT","AMOUNT",$A$1:$A$3,$A201:$B201,Q$3:Q$5,"#")-SUM($M201:P201),0)</f>
        <v>#REF!</v>
      </c>
      <c r="R201" s="61" t="e">
        <f>IF(R$1&lt;=#REF!,_xll.GetCtData("PKAMOUNT","AMOUNT",$A$1:$A$3,$A201:$B201,R$3:R$5,"#")-SUM($M201:Q201),0)</f>
        <v>#REF!</v>
      </c>
      <c r="S201" s="61" t="e">
        <f>IF(S$1&lt;=#REF!,_xll.GetCtData("PKAMOUNT","AMOUNT",$A$1:$A$3,$A201:$B201,S$3:S$5,"#")-SUM($M201:R201),0)</f>
        <v>#REF!</v>
      </c>
      <c r="T201" s="61" t="e">
        <f>IF(T$1&lt;=#REF!,_xll.GetCtData("PKAMOUNT","AMOUNT",$A$1:$A$3,$A201:$B201,T$3:T$5,"#")-SUM($M201:S201),0)</f>
        <v>#REF!</v>
      </c>
      <c r="U201" s="61" t="e">
        <f>IF(U$1&lt;=#REF!,_xll.GetCtData("PKAMOUNT","AMOUNT",$A$1:$A$3,$A201:$B201,U$3:U$5,"#")-SUM($M201:T201),0)</f>
        <v>#REF!</v>
      </c>
      <c r="V201" s="61" t="e">
        <f>IF(V$1&lt;=#REF!,_xll.GetCtData("PKAMOUNT","AMOUNT",$A$1:$A$3,$A201:$B201,V$3:V$5,"#")-SUM($M201:U201),0)</f>
        <v>#REF!</v>
      </c>
      <c r="W201" s="61" t="e">
        <f>IF(W$1&lt;=#REF!,_xll.GetCtData("PKAMOUNT","AMOUNT",$A$1:$A$3,$A201:$B201,W$3:W$5,"#")-SUM($M201:V201),0)</f>
        <v>#REF!</v>
      </c>
      <c r="X201" s="61" t="e">
        <f>IF(X$1&lt;=#REF!,_xll.GetCtData("PKAMOUNT","AMOUNT",$A$1:$A$3,$A201:$B201,X$3:X$5,"#")-SUM($M201:W201),0)</f>
        <v>#REF!</v>
      </c>
      <c r="Y201" s="61">
        <f>_xll.GetCtData("PKAMOUNT","AMOUNT",$A$1:$A$3,$A201:$B201,Y$3:Y$5,"#")</f>
        <v>0</v>
      </c>
      <c r="AA201" s="61" t="e">
        <f>$K201*#REF!/12</f>
        <v>#REF!</v>
      </c>
      <c r="AB201" s="60" t="e">
        <f t="shared" si="141"/>
        <v>#REF!</v>
      </c>
      <c r="AD201" s="61" t="e">
        <f>$L201*#REF!/12</f>
        <v>#REF!</v>
      </c>
      <c r="AE201" s="60" t="e">
        <f t="shared" si="142"/>
        <v>#REF!</v>
      </c>
    </row>
    <row r="202" spans="1:31" ht="18" customHeight="1" x14ac:dyDescent="0.2">
      <c r="A202" s="30" t="s">
        <v>221</v>
      </c>
      <c r="B202" s="30" t="s">
        <v>22</v>
      </c>
      <c r="C202" s="4" t="e">
        <f t="shared" si="139"/>
        <v>#REF!</v>
      </c>
      <c r="D202" s="4" t="e">
        <f t="shared" si="140"/>
        <v>#REF!</v>
      </c>
      <c r="F202" s="106" t="s">
        <v>379</v>
      </c>
      <c r="H202" s="61">
        <f>_xll.GetCtData("PKAMOUNT","AMOUNT",$A$1:$A$3,$A202:$B202,H$3:H$5,"#")</f>
        <v>0</v>
      </c>
      <c r="I202" s="61">
        <f>_xll.GetCtData("PKAMOUNT","AMOUNT",$A$1:$A$3,$A202:$B202,I$3:I$5,"#")</f>
        <v>0</v>
      </c>
      <c r="J202" s="61">
        <f>_xll.GetCtData("PKAMOUNT","AMOUNT",$A$1:$A$3,$A202:$B202,J$3:J$5,"#")</f>
        <v>0</v>
      </c>
      <c r="K202" s="86">
        <f>_xll.GetCtData("PKAMOUNT","AMOUNT",$A$1:$A$3,$A202:$B202,K$3:K$5,"#")</f>
        <v>0</v>
      </c>
      <c r="L202" s="86">
        <f>_xll.GetCtData("PKAMOUNT","AMOUNT",$A$1:$A$3,$A202:$B202,L$3:L$5,"#")</f>
        <v>0</v>
      </c>
      <c r="M202" s="61">
        <f>_xll.GetCtData("PKAMOUNT","AMOUNT",$A$1:$A$3,$A202:$B202,M$3:M$5,"#")</f>
        <v>0</v>
      </c>
      <c r="N202" s="61" t="e">
        <f>IF(N$1&lt;=#REF!,_xll.GetCtData("PKAMOUNT","AMOUNT",$A$1:$A$3,$A202:$B202,N$3:N$5,"#")-SUM($M202:M202),0)</f>
        <v>#REF!</v>
      </c>
      <c r="O202" s="61" t="e">
        <f>IF(O$1&lt;=#REF!,_xll.GetCtData("PKAMOUNT","AMOUNT",$A$1:$A$3,$A202:$B202,O$3:O$5,"#")-SUM($M202:N202),0)</f>
        <v>#REF!</v>
      </c>
      <c r="P202" s="61" t="e">
        <f>IF(P$1&lt;=#REF!,_xll.GetCtData("PKAMOUNT","AMOUNT",$A$1:$A$3,$A202:$B202,P$3:P$5,"#")-SUM($M202:O202),0)</f>
        <v>#REF!</v>
      </c>
      <c r="Q202" s="61" t="e">
        <f>IF(Q$1&lt;=#REF!,_xll.GetCtData("PKAMOUNT","AMOUNT",$A$1:$A$3,$A202:$B202,Q$3:Q$5,"#")-SUM($M202:P202),0)</f>
        <v>#REF!</v>
      </c>
      <c r="R202" s="61" t="e">
        <f>IF(R$1&lt;=#REF!,_xll.GetCtData("PKAMOUNT","AMOUNT",$A$1:$A$3,$A202:$B202,R$3:R$5,"#")-SUM($M202:Q202),0)</f>
        <v>#REF!</v>
      </c>
      <c r="S202" s="61" t="e">
        <f>IF(S$1&lt;=#REF!,_xll.GetCtData("PKAMOUNT","AMOUNT",$A$1:$A$3,$A202:$B202,S$3:S$5,"#")-SUM($M202:R202),0)</f>
        <v>#REF!</v>
      </c>
      <c r="T202" s="61" t="e">
        <f>IF(T$1&lt;=#REF!,_xll.GetCtData("PKAMOUNT","AMOUNT",$A$1:$A$3,$A202:$B202,T$3:T$5,"#")-SUM($M202:S202),0)</f>
        <v>#REF!</v>
      </c>
      <c r="U202" s="61" t="e">
        <f>IF(U$1&lt;=#REF!,_xll.GetCtData("PKAMOUNT","AMOUNT",$A$1:$A$3,$A202:$B202,U$3:U$5,"#")-SUM($M202:T202),0)</f>
        <v>#REF!</v>
      </c>
      <c r="V202" s="61" t="e">
        <f>IF(V$1&lt;=#REF!,_xll.GetCtData("PKAMOUNT","AMOUNT",$A$1:$A$3,$A202:$B202,V$3:V$5,"#")-SUM($M202:U202),0)</f>
        <v>#REF!</v>
      </c>
      <c r="W202" s="61" t="e">
        <f>IF(W$1&lt;=#REF!,_xll.GetCtData("PKAMOUNT","AMOUNT",$A$1:$A$3,$A202:$B202,W$3:W$5,"#")-SUM($M202:V202),0)</f>
        <v>#REF!</v>
      </c>
      <c r="X202" s="61" t="e">
        <f>IF(X$1&lt;=#REF!,_xll.GetCtData("PKAMOUNT","AMOUNT",$A$1:$A$3,$A202:$B202,X$3:X$5,"#")-SUM($M202:W202),0)</f>
        <v>#REF!</v>
      </c>
      <c r="Y202" s="61">
        <f>_xll.GetCtData("PKAMOUNT","AMOUNT",$A$1:$A$3,$A202:$B202,Y$3:Y$5,"#")</f>
        <v>0</v>
      </c>
      <c r="AA202" s="61" t="e">
        <f>$K202*#REF!/12</f>
        <v>#REF!</v>
      </c>
      <c r="AB202" s="60" t="e">
        <f t="shared" si="141"/>
        <v>#REF!</v>
      </c>
      <c r="AD202" s="61" t="e">
        <f>$L202*#REF!/12</f>
        <v>#REF!</v>
      </c>
      <c r="AE202" s="60" t="e">
        <f t="shared" si="142"/>
        <v>#REF!</v>
      </c>
    </row>
    <row r="203" spans="1:31" ht="18" customHeight="1" x14ac:dyDescent="0.2">
      <c r="A203" s="30" t="s">
        <v>430</v>
      </c>
      <c r="B203" s="30" t="s">
        <v>22</v>
      </c>
      <c r="C203" s="4" t="e">
        <f t="shared" si="139"/>
        <v>#REF!</v>
      </c>
      <c r="D203" s="4" t="e">
        <f t="shared" si="140"/>
        <v>#REF!</v>
      </c>
      <c r="F203" s="106" t="s">
        <v>431</v>
      </c>
      <c r="H203" s="61">
        <f>_xll.GetCtData("PKAMOUNT","AMOUNT",$A$1:$A$3,$A203:$B203,H$3:H$5,"#")</f>
        <v>0</v>
      </c>
      <c r="I203" s="61">
        <f>_xll.GetCtData("PKAMOUNT","AMOUNT",$A$1:$A$3,$A203:$B203,I$3:I$5,"#")</f>
        <v>0</v>
      </c>
      <c r="J203" s="61">
        <f>_xll.GetCtData("PKAMOUNT","AMOUNT",$A$1:$A$3,$A203:$B203,J$3:J$5,"#")</f>
        <v>0</v>
      </c>
      <c r="K203" s="86">
        <f>_xll.GetCtData("PKAMOUNT","AMOUNT",$A$1:$A$3,$A203:$B203,K$3:K$5,"#")</f>
        <v>0</v>
      </c>
      <c r="L203" s="86">
        <f>_xll.GetCtData("PKAMOUNT","AMOUNT",$A$1:$A$3,$A203:$B203,L$3:L$5,"#")</f>
        <v>0</v>
      </c>
      <c r="M203" s="61">
        <f>_xll.GetCtData("PKAMOUNT","AMOUNT",$A$1:$A$3,$A203:$B203,M$3:M$5,"#")</f>
        <v>0</v>
      </c>
      <c r="N203" s="61" t="e">
        <f>IF(N$1&lt;=#REF!,_xll.GetCtData("PKAMOUNT","AMOUNT",$A$1:$A$3,$A203:$B203,N$3:N$5,"#")-SUM($M203:M203),0)</f>
        <v>#REF!</v>
      </c>
      <c r="O203" s="61" t="e">
        <f>IF(O$1&lt;=#REF!,_xll.GetCtData("PKAMOUNT","AMOUNT",$A$1:$A$3,$A203:$B203,O$3:O$5,"#")-SUM($M203:N203),0)</f>
        <v>#REF!</v>
      </c>
      <c r="P203" s="61" t="e">
        <f>IF(P$1&lt;=#REF!,_xll.GetCtData("PKAMOUNT","AMOUNT",$A$1:$A$3,$A203:$B203,P$3:P$5,"#")-SUM($M203:O203),0)</f>
        <v>#REF!</v>
      </c>
      <c r="Q203" s="61" t="e">
        <f>IF(Q$1&lt;=#REF!,_xll.GetCtData("PKAMOUNT","AMOUNT",$A$1:$A$3,$A203:$B203,Q$3:Q$5,"#")-SUM($M203:P203),0)</f>
        <v>#REF!</v>
      </c>
      <c r="R203" s="61" t="e">
        <f>IF(R$1&lt;=#REF!,_xll.GetCtData("PKAMOUNT","AMOUNT",$A$1:$A$3,$A203:$B203,R$3:R$5,"#")-SUM($M203:Q203),0)</f>
        <v>#REF!</v>
      </c>
      <c r="S203" s="61" t="e">
        <f>IF(S$1&lt;=#REF!,_xll.GetCtData("PKAMOUNT","AMOUNT",$A$1:$A$3,$A203:$B203,S$3:S$5,"#")-SUM($M203:R203),0)</f>
        <v>#REF!</v>
      </c>
      <c r="T203" s="61" t="e">
        <f>IF(T$1&lt;=#REF!,_xll.GetCtData("PKAMOUNT","AMOUNT",$A$1:$A$3,$A203:$B203,T$3:T$5,"#")-SUM($M203:S203),0)</f>
        <v>#REF!</v>
      </c>
      <c r="U203" s="61" t="e">
        <f>IF(U$1&lt;=#REF!,_xll.GetCtData("PKAMOUNT","AMOUNT",$A$1:$A$3,$A203:$B203,U$3:U$5,"#")-SUM($M203:T203),0)</f>
        <v>#REF!</v>
      </c>
      <c r="V203" s="61" t="e">
        <f>IF(V$1&lt;=#REF!,_xll.GetCtData("PKAMOUNT","AMOUNT",$A$1:$A$3,$A203:$B203,V$3:V$5,"#")-SUM($M203:U203),0)</f>
        <v>#REF!</v>
      </c>
      <c r="W203" s="61" t="e">
        <f>IF(W$1&lt;=#REF!,_xll.GetCtData("PKAMOUNT","AMOUNT",$A$1:$A$3,$A203:$B203,W$3:W$5,"#")-SUM($M203:V203),0)</f>
        <v>#REF!</v>
      </c>
      <c r="X203" s="61" t="e">
        <f>IF(X$1&lt;=#REF!,_xll.GetCtData("PKAMOUNT","AMOUNT",$A$1:$A$3,$A203:$B203,X$3:X$5,"#")-SUM($M203:W203),0)</f>
        <v>#REF!</v>
      </c>
      <c r="Y203" s="61">
        <f>_xll.GetCtData("PKAMOUNT","AMOUNT",$A$1:$A$3,$A203:$B203,Y$3:Y$5,"#")</f>
        <v>0</v>
      </c>
      <c r="AA203" s="61" t="e">
        <f>$K203*#REF!/12</f>
        <v>#REF!</v>
      </c>
      <c r="AB203" s="60" t="e">
        <f t="shared" ref="AB203" si="143">ROUND($Y203-AA203,2)</f>
        <v>#REF!</v>
      </c>
      <c r="AD203" s="61" t="e">
        <f>$L203*#REF!/12</f>
        <v>#REF!</v>
      </c>
      <c r="AE203" s="60" t="e">
        <f t="shared" ref="AE203" si="144">ROUND($Y203-AD203,2)</f>
        <v>#REF!</v>
      </c>
    </row>
    <row r="204" spans="1:31" ht="18" customHeight="1" x14ac:dyDescent="0.2">
      <c r="A204" s="30" t="s">
        <v>35</v>
      </c>
      <c r="B204" s="30" t="s">
        <v>22</v>
      </c>
      <c r="C204" s="4" t="e">
        <f t="shared" si="139"/>
        <v>#REF!</v>
      </c>
      <c r="D204" s="4" t="e">
        <f t="shared" si="140"/>
        <v>#REF!</v>
      </c>
      <c r="F204" s="106" t="s">
        <v>67</v>
      </c>
      <c r="H204" s="61">
        <f>_xll.GetCtData("PKAMOUNT","AMOUNT",$A$1:$A$3,$A204:$B204,H$3:H$5,"#")</f>
        <v>0</v>
      </c>
      <c r="I204" s="61">
        <f>_xll.GetCtData("PKAMOUNT","AMOUNT",$A$1:$A$3,$A204:$B204,I$3:I$5,"#")</f>
        <v>0</v>
      </c>
      <c r="J204" s="61">
        <f>_xll.GetCtData("PKAMOUNT","AMOUNT",$A$1:$A$3,$A204:$B204,J$3:J$5,"#")</f>
        <v>0</v>
      </c>
      <c r="K204" s="86">
        <f>_xll.GetCtData("PKAMOUNT","AMOUNT",$A$1:$A$3,$A204:$B204,K$3:K$5,"#")</f>
        <v>0</v>
      </c>
      <c r="L204" s="86">
        <f>_xll.GetCtData("PKAMOUNT","AMOUNT",$A$1:$A$3,$A204:$B204,L$3:L$5,"#")</f>
        <v>0</v>
      </c>
      <c r="M204" s="61">
        <f>_xll.GetCtData("PKAMOUNT","AMOUNT",$A$1:$A$3,$A204:$B204,M$3:M$5,"#")</f>
        <v>0</v>
      </c>
      <c r="N204" s="61" t="e">
        <f>IF(N$1&lt;=#REF!,_xll.GetCtData("PKAMOUNT","AMOUNT",$A$1:$A$3,$A204:$B204,N$3:N$5,"#")-SUM($M204:M204),0)</f>
        <v>#REF!</v>
      </c>
      <c r="O204" s="61" t="e">
        <f>IF(O$1&lt;=#REF!,_xll.GetCtData("PKAMOUNT","AMOUNT",$A$1:$A$3,$A204:$B204,O$3:O$5,"#")-SUM($M204:N204),0)</f>
        <v>#REF!</v>
      </c>
      <c r="P204" s="61" t="e">
        <f>IF(P$1&lt;=#REF!,_xll.GetCtData("PKAMOUNT","AMOUNT",$A$1:$A$3,$A204:$B204,P$3:P$5,"#")-SUM($M204:O204),0)</f>
        <v>#REF!</v>
      </c>
      <c r="Q204" s="61" t="e">
        <f>IF(Q$1&lt;=#REF!,_xll.GetCtData("PKAMOUNT","AMOUNT",$A$1:$A$3,$A204:$B204,Q$3:Q$5,"#")-SUM($M204:P204),0)</f>
        <v>#REF!</v>
      </c>
      <c r="R204" s="61" t="e">
        <f>IF(R$1&lt;=#REF!,_xll.GetCtData("PKAMOUNT","AMOUNT",$A$1:$A$3,$A204:$B204,R$3:R$5,"#")-SUM($M204:Q204),0)</f>
        <v>#REF!</v>
      </c>
      <c r="S204" s="61" t="e">
        <f>IF(S$1&lt;=#REF!,_xll.GetCtData("PKAMOUNT","AMOUNT",$A$1:$A$3,$A204:$B204,S$3:S$5,"#")-SUM($M204:R204),0)</f>
        <v>#REF!</v>
      </c>
      <c r="T204" s="61" t="e">
        <f>IF(T$1&lt;=#REF!,_xll.GetCtData("PKAMOUNT","AMOUNT",$A$1:$A$3,$A204:$B204,T$3:T$5,"#")-SUM($M204:S204),0)</f>
        <v>#REF!</v>
      </c>
      <c r="U204" s="61" t="e">
        <f>IF(U$1&lt;=#REF!,_xll.GetCtData("PKAMOUNT","AMOUNT",$A$1:$A$3,$A204:$B204,U$3:U$5,"#")-SUM($M204:T204),0)</f>
        <v>#REF!</v>
      </c>
      <c r="V204" s="61" t="e">
        <f>IF(V$1&lt;=#REF!,_xll.GetCtData("PKAMOUNT","AMOUNT",$A$1:$A$3,$A204:$B204,V$3:V$5,"#")-SUM($M204:U204),0)</f>
        <v>#REF!</v>
      </c>
      <c r="W204" s="61" t="e">
        <f>IF(W$1&lt;=#REF!,_xll.GetCtData("PKAMOUNT","AMOUNT",$A$1:$A$3,$A204:$B204,W$3:W$5,"#")-SUM($M204:V204),0)</f>
        <v>#REF!</v>
      </c>
      <c r="X204" s="61" t="e">
        <f>IF(X$1&lt;=#REF!,_xll.GetCtData("PKAMOUNT","AMOUNT",$A$1:$A$3,$A204:$B204,X$3:X$5,"#")-SUM($M204:W204),0)</f>
        <v>#REF!</v>
      </c>
      <c r="Y204" s="61">
        <f>_xll.GetCtData("PKAMOUNT","AMOUNT",$A$1:$A$3,$A204:$B204,Y$3:Y$5,"#")</f>
        <v>0</v>
      </c>
      <c r="AA204" s="61" t="e">
        <f>$K204*#REF!/12</f>
        <v>#REF!</v>
      </c>
      <c r="AB204" s="60" t="e">
        <f t="shared" si="141"/>
        <v>#REF!</v>
      </c>
      <c r="AD204" s="61" t="e">
        <f>$L204*#REF!/12</f>
        <v>#REF!</v>
      </c>
      <c r="AE204" s="60" t="e">
        <f t="shared" si="142"/>
        <v>#REF!</v>
      </c>
    </row>
    <row r="205" spans="1:31" ht="18" hidden="1" customHeight="1" outlineLevel="1" collapsed="1" x14ac:dyDescent="0.2">
      <c r="A205" s="35"/>
      <c r="B205" s="35"/>
      <c r="C205" s="4"/>
      <c r="D205" s="4"/>
      <c r="F205" s="97" t="s">
        <v>252</v>
      </c>
      <c r="H205" s="74">
        <f>-H206/38</f>
        <v>0</v>
      </c>
      <c r="I205" s="74" t="e">
        <f>(-I206/38)*12/#REF!</f>
        <v>#REF!</v>
      </c>
      <c r="J205" s="74">
        <f>-J206/38</f>
        <v>0</v>
      </c>
      <c r="K205" s="112">
        <f>-K206/38</f>
        <v>0</v>
      </c>
      <c r="L205" s="112">
        <f>-L206/38</f>
        <v>0</v>
      </c>
      <c r="M205" s="74">
        <f t="shared" ref="M205:X205" si="145">-M206/38*12</f>
        <v>0</v>
      </c>
      <c r="N205" s="74" t="e">
        <f t="shared" si="145"/>
        <v>#REF!</v>
      </c>
      <c r="O205" s="74" t="e">
        <f t="shared" si="145"/>
        <v>#REF!</v>
      </c>
      <c r="P205" s="74" t="e">
        <f t="shared" si="145"/>
        <v>#REF!</v>
      </c>
      <c r="Q205" s="74" t="e">
        <f t="shared" si="145"/>
        <v>#REF!</v>
      </c>
      <c r="R205" s="74" t="e">
        <f t="shared" si="145"/>
        <v>#REF!</v>
      </c>
      <c r="S205" s="74" t="e">
        <f t="shared" si="145"/>
        <v>#REF!</v>
      </c>
      <c r="T205" s="74" t="e">
        <f t="shared" si="145"/>
        <v>#REF!</v>
      </c>
      <c r="U205" s="74" t="e">
        <f t="shared" si="145"/>
        <v>#REF!</v>
      </c>
      <c r="V205" s="74" t="e">
        <f t="shared" si="145"/>
        <v>#REF!</v>
      </c>
      <c r="W205" s="74" t="e">
        <f t="shared" si="145"/>
        <v>#REF!</v>
      </c>
      <c r="X205" s="74" t="e">
        <f t="shared" si="145"/>
        <v>#REF!</v>
      </c>
      <c r="Y205" s="74" t="e">
        <f>(-Y206/38)*12/#REF!</f>
        <v>#REF!</v>
      </c>
      <c r="AA205" s="74">
        <f>$K205</f>
        <v>0</v>
      </c>
      <c r="AB205" s="73" t="e">
        <f t="shared" si="141"/>
        <v>#REF!</v>
      </c>
      <c r="AD205" s="74">
        <f>$L205</f>
        <v>0</v>
      </c>
      <c r="AE205" s="73" t="e">
        <f t="shared" si="142"/>
        <v>#REF!</v>
      </c>
    </row>
    <row r="206" spans="1:31" ht="18" customHeight="1" collapsed="1" x14ac:dyDescent="0.2">
      <c r="A206" s="30" t="s">
        <v>20</v>
      </c>
      <c r="B206" s="30" t="s">
        <v>22</v>
      </c>
      <c r="C206" s="4" t="e">
        <f>IF(AND($Y206=0,AA206=0),0,IF(AA206=0,IF($Y206&gt;=0,AB206/$Y206,-AB206/$Y206),IF(AA206&gt;=0,AB206/AA206,-AB206/AA206)))</f>
        <v>#REF!</v>
      </c>
      <c r="D206" s="4" t="e">
        <f>IF(AND($Y206=0,AD206=0),0,IF(AD206=0,IF($Y206&gt;=0,AE206/$Y206,-AE206/$Y206),IF(AD206&gt;=0,AE206/AD206,-AE206/AD206)))</f>
        <v>#REF!</v>
      </c>
      <c r="F206" s="106" t="s">
        <v>68</v>
      </c>
      <c r="H206" s="61">
        <f>_xll.GetCtData("PKAMOUNT","AMOUNT",$A$1:$A$3,$A206:$B206,H$3:H$5,"#")</f>
        <v>0</v>
      </c>
      <c r="I206" s="61">
        <f>_xll.GetCtData("PKAMOUNT","AMOUNT",$A$1:$A$3,$A206:$B206,I$3:I$5,"#")</f>
        <v>0</v>
      </c>
      <c r="J206" s="61">
        <f>_xll.GetCtData("PKAMOUNT","AMOUNT",$A$1:$A$3,$A206:$B206,J$3:J$5,"#")</f>
        <v>0</v>
      </c>
      <c r="K206" s="86">
        <f>_xll.GetCtData("PKAMOUNT","AMOUNT",$A$1:$A$3,$A206:$B206,K$3:K$5,"#")</f>
        <v>0</v>
      </c>
      <c r="L206" s="86">
        <f>_xll.GetCtData("PKAMOUNT","AMOUNT",$A$1:$A$3,$A206:$B206,L$3:L$5,"#")</f>
        <v>0</v>
      </c>
      <c r="M206" s="61">
        <f>_xll.GetCtData("PKAMOUNT","AMOUNT",$A$1:$A$3,$A206:$B206,M$3:M$5,"#")</f>
        <v>0</v>
      </c>
      <c r="N206" s="61" t="e">
        <f>IF(N$1&lt;=#REF!,_xll.GetCtData("PKAMOUNT","AMOUNT",$A$1:$A$3,$A206:$B206,N$3:N$5,"#")-SUM($M206:M206),0)</f>
        <v>#REF!</v>
      </c>
      <c r="O206" s="61" t="e">
        <f>IF(O$1&lt;=#REF!,_xll.GetCtData("PKAMOUNT","AMOUNT",$A$1:$A$3,$A206:$B206,O$3:O$5,"#")-SUM($M206:N206),0)</f>
        <v>#REF!</v>
      </c>
      <c r="P206" s="61" t="e">
        <f>IF(P$1&lt;=#REF!,_xll.GetCtData("PKAMOUNT","AMOUNT",$A$1:$A$3,$A206:$B206,P$3:P$5,"#")-SUM($M206:O206),0)</f>
        <v>#REF!</v>
      </c>
      <c r="Q206" s="61" t="e">
        <f>IF(Q$1&lt;=#REF!,_xll.GetCtData("PKAMOUNT","AMOUNT",$A$1:$A$3,$A206:$B206,Q$3:Q$5,"#")-SUM($M206:P206),0)</f>
        <v>#REF!</v>
      </c>
      <c r="R206" s="61" t="e">
        <f>IF(R$1&lt;=#REF!,_xll.GetCtData("PKAMOUNT","AMOUNT",$A$1:$A$3,$A206:$B206,R$3:R$5,"#")-SUM($M206:Q206),0)</f>
        <v>#REF!</v>
      </c>
      <c r="S206" s="61" t="e">
        <f>IF(S$1&lt;=#REF!,_xll.GetCtData("PKAMOUNT","AMOUNT",$A$1:$A$3,$A206:$B206,S$3:S$5,"#")-SUM($M206:R206),0)</f>
        <v>#REF!</v>
      </c>
      <c r="T206" s="61" t="e">
        <f>IF(T$1&lt;=#REF!,_xll.GetCtData("PKAMOUNT","AMOUNT",$A$1:$A$3,$A206:$B206,T$3:T$5,"#")-SUM($M206:S206),0)</f>
        <v>#REF!</v>
      </c>
      <c r="U206" s="61" t="e">
        <f>IF(U$1&lt;=#REF!,_xll.GetCtData("PKAMOUNT","AMOUNT",$A$1:$A$3,$A206:$B206,U$3:U$5,"#")-SUM($M206:T206),0)</f>
        <v>#REF!</v>
      </c>
      <c r="V206" s="61" t="e">
        <f>IF(V$1&lt;=#REF!,_xll.GetCtData("PKAMOUNT","AMOUNT",$A$1:$A$3,$A206:$B206,V$3:V$5,"#")-SUM($M206:U206),0)</f>
        <v>#REF!</v>
      </c>
      <c r="W206" s="61" t="e">
        <f>IF(W$1&lt;=#REF!,_xll.GetCtData("PKAMOUNT","AMOUNT",$A$1:$A$3,$A206:$B206,W$3:W$5,"#")-SUM($M206:V206),0)</f>
        <v>#REF!</v>
      </c>
      <c r="X206" s="61" t="e">
        <f>IF(X$1&lt;=#REF!,_xll.GetCtData("PKAMOUNT","AMOUNT",$A$1:$A$3,$A206:$B206,X$3:X$5,"#")-SUM($M206:W206),0)</f>
        <v>#REF!</v>
      </c>
      <c r="Y206" s="61">
        <f>_xll.GetCtData("PKAMOUNT","AMOUNT",$A$1:$A$3,$A206:$B206,Y$3:Y$5,"#")</f>
        <v>0</v>
      </c>
      <c r="AA206" s="61" t="e">
        <f>$K206*#REF!/12</f>
        <v>#REF!</v>
      </c>
      <c r="AB206" s="60" t="e">
        <f t="shared" si="141"/>
        <v>#REF!</v>
      </c>
      <c r="AD206" s="61" t="e">
        <f>$L206*#REF!/12</f>
        <v>#REF!</v>
      </c>
      <c r="AE206" s="60" t="e">
        <f t="shared" si="142"/>
        <v>#REF!</v>
      </c>
    </row>
    <row r="207" spans="1:31" ht="18" customHeight="1" x14ac:dyDescent="0.2">
      <c r="A207" s="35"/>
      <c r="B207" s="35"/>
      <c r="C207" s="4" t="e">
        <f>IF(AND($Y207=0,AA207=0),0,IF(AA207=0,IF($Y207&gt;=0,AB207/$Y207,-AB207/$Y207),IF(AA207&gt;=0,AB207/AA207,-AB207/AA207)))</f>
        <v>#REF!</v>
      </c>
      <c r="D207" s="4" t="e">
        <f>IF(AND($Y207=0,AD207=0),0,IF(AD207=0,IF($Y207&gt;=0,AE207/$Y207,-AE207/$Y207),IF(AD207&gt;=0,AE207/AD207,-AE207/AD207)))</f>
        <v>#REF!</v>
      </c>
      <c r="F207" s="95" t="s">
        <v>275</v>
      </c>
      <c r="H207" s="198">
        <f>H199+H200+H201+H202+H204+H206+H203</f>
        <v>0</v>
      </c>
      <c r="I207" s="198">
        <f>I199+I200+I201+I202+I204+I206+I203</f>
        <v>0</v>
      </c>
      <c r="J207" s="198">
        <f>J199+J200+J201+J202+J204+J206+J203</f>
        <v>0</v>
      </c>
      <c r="K207" s="89">
        <f t="shared" ref="K207:L207" si="146">K199+K200+K201+K202+K204+K206</f>
        <v>0</v>
      </c>
      <c r="L207" s="89">
        <f t="shared" si="146"/>
        <v>0</v>
      </c>
      <c r="M207" s="64">
        <f>M199+M200+M201+M202+M204+M206+M203</f>
        <v>0</v>
      </c>
      <c r="N207" s="64" t="e">
        <f t="shared" ref="N207:Y207" si="147">N199+N200+N201+N202+N204+N206+N203</f>
        <v>#REF!</v>
      </c>
      <c r="O207" s="64" t="e">
        <f t="shared" si="147"/>
        <v>#REF!</v>
      </c>
      <c r="P207" s="64" t="e">
        <f t="shared" si="147"/>
        <v>#REF!</v>
      </c>
      <c r="Q207" s="64" t="e">
        <f t="shared" si="147"/>
        <v>#REF!</v>
      </c>
      <c r="R207" s="64" t="e">
        <f t="shared" si="147"/>
        <v>#REF!</v>
      </c>
      <c r="S207" s="64" t="e">
        <f t="shared" si="147"/>
        <v>#REF!</v>
      </c>
      <c r="T207" s="64" t="e">
        <f t="shared" si="147"/>
        <v>#REF!</v>
      </c>
      <c r="U207" s="64" t="e">
        <f t="shared" si="147"/>
        <v>#REF!</v>
      </c>
      <c r="V207" s="64" t="e">
        <f t="shared" si="147"/>
        <v>#REF!</v>
      </c>
      <c r="W207" s="64" t="e">
        <f t="shared" si="147"/>
        <v>#REF!</v>
      </c>
      <c r="X207" s="64" t="e">
        <f t="shared" si="147"/>
        <v>#REF!</v>
      </c>
      <c r="Y207" s="64">
        <f t="shared" si="147"/>
        <v>0</v>
      </c>
      <c r="AA207" s="64" t="e">
        <f>$K207*#REF!/12</f>
        <v>#REF!</v>
      </c>
      <c r="AB207" s="60" t="e">
        <f t="shared" si="141"/>
        <v>#REF!</v>
      </c>
      <c r="AD207" s="64" t="e">
        <f>$L207*#REF!/12</f>
        <v>#REF!</v>
      </c>
      <c r="AE207" s="60" t="e">
        <f t="shared" si="142"/>
        <v>#REF!</v>
      </c>
    </row>
    <row r="208" spans="1:31" ht="12.95" customHeight="1" x14ac:dyDescent="0.2">
      <c r="A208" s="35"/>
      <c r="B208" s="35"/>
      <c r="C208" s="4"/>
      <c r="D208" s="4"/>
      <c r="F208" s="39" t="s">
        <v>223</v>
      </c>
      <c r="H208" s="56">
        <f>-H207/(H$58)</f>
        <v>0</v>
      </c>
      <c r="I208" s="56">
        <f t="shared" ref="I208:L208" si="148">-I207/(I$58)</f>
        <v>0</v>
      </c>
      <c r="J208" s="56">
        <f t="shared" si="148"/>
        <v>0</v>
      </c>
      <c r="K208" s="109" t="e">
        <f t="shared" si="148"/>
        <v>#DIV/0!</v>
      </c>
      <c r="L208" s="109" t="e">
        <f t="shared" si="148"/>
        <v>#DIV/0!</v>
      </c>
      <c r="M208" s="56" t="e">
        <f>-M207/(M$58)</f>
        <v>#DIV/0!</v>
      </c>
      <c r="N208" s="56" t="e">
        <f>IF(N$1&lt;=#REF!,-N207/(N$58),"")</f>
        <v>#REF!</v>
      </c>
      <c r="O208" s="56" t="e">
        <f>IF(O$1&lt;=#REF!,-O207/(O$58),"")</f>
        <v>#REF!</v>
      </c>
      <c r="P208" s="56" t="e">
        <f>IF(P$1&lt;=#REF!,-P207/(P$58),"")</f>
        <v>#REF!</v>
      </c>
      <c r="Q208" s="56" t="e">
        <f>IF(Q$1&lt;=#REF!,-Q207/(Q$58),"")</f>
        <v>#REF!</v>
      </c>
      <c r="R208" s="56" t="e">
        <f>IF(R$1&lt;=#REF!,-R207/(R$58),"")</f>
        <v>#REF!</v>
      </c>
      <c r="S208" s="56" t="e">
        <f>IF(S$1&lt;=#REF!,-S207/(S$58),"")</f>
        <v>#REF!</v>
      </c>
      <c r="T208" s="56" t="e">
        <f>IF(T$1&lt;=#REF!,-T207/(T$58),"")</f>
        <v>#REF!</v>
      </c>
      <c r="U208" s="56" t="e">
        <f>IF(U$1&lt;=#REF!,-U207/(U$58),"")</f>
        <v>#REF!</v>
      </c>
      <c r="V208" s="56" t="e">
        <f>IF(V$1&lt;=#REF!,-V207/(V$58),"")</f>
        <v>#REF!</v>
      </c>
      <c r="W208" s="56" t="e">
        <f>IF(W$1&lt;=#REF!,-W207/(W$58),"")</f>
        <v>#REF!</v>
      </c>
      <c r="X208" s="56" t="e">
        <f>IF(X$1&lt;=#REF!,-X207/(X$58),"")</f>
        <v>#REF!</v>
      </c>
      <c r="Y208" s="56" t="e">
        <f>-Y207/(Y$58)</f>
        <v>#DIV/0!</v>
      </c>
      <c r="AA208" s="56" t="e">
        <f>-AA207/(AA$58)</f>
        <v>#REF!</v>
      </c>
      <c r="AB208" s="57"/>
      <c r="AD208" s="56" t="e">
        <f>-AD207/(AD$58)</f>
        <v>#REF!</v>
      </c>
      <c r="AE208" s="57"/>
    </row>
    <row r="209" spans="1:39" ht="6.95" customHeight="1" x14ac:dyDescent="0.2">
      <c r="C209" s="4"/>
      <c r="D209" s="4"/>
      <c r="F209" s="96"/>
      <c r="H209" s="16"/>
      <c r="I209" s="16"/>
      <c r="J209" s="16"/>
      <c r="K209" s="85"/>
      <c r="L209" s="85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AA209" s="16"/>
      <c r="AB209" s="20"/>
      <c r="AD209" s="16"/>
      <c r="AE209" s="20"/>
    </row>
    <row r="210" spans="1:39" ht="18" customHeight="1" x14ac:dyDescent="0.2">
      <c r="A210" s="30" t="s">
        <v>70</v>
      </c>
      <c r="B210" s="30" t="s">
        <v>22</v>
      </c>
      <c r="C210" s="4"/>
      <c r="D210" s="4"/>
      <c r="F210" s="97" t="s">
        <v>226</v>
      </c>
      <c r="H210" s="74">
        <f>_xll.GetCtData("PKAMOUNT","AMOUNT",$A$1:$A$3,$A210:$B210,H$3:H$5,"#")</f>
        <v>0</v>
      </c>
      <c r="I210" s="74" t="e">
        <f>_xll.GetCtData("PKAMOUNT","AMOUNT",$A$1:$A$3,$A210:$B210,I$3:I$5,"#")*12/#REF!</f>
        <v>#REF!</v>
      </c>
      <c r="J210" s="74">
        <f>_xll.GetCtData("PKAMOUNT","AMOUNT",$A$1:$A$3,$A210:$B210,J$3:J$5,"#")</f>
        <v>0</v>
      </c>
      <c r="K210" s="112">
        <f>_xll.GetCtData("PKAMOUNT","AMOUNT",$A$1:$A$3,$A210:$B210,K$3:K$5,"#")</f>
        <v>0</v>
      </c>
      <c r="L210" s="112">
        <f>_xll.GetCtData("PKAMOUNT","AMOUNT",$A$1:$A$3,$A210:$B210,L$3:L$5,"#")</f>
        <v>0</v>
      </c>
      <c r="M210" s="74">
        <f>_xll.GetCtData("PKAMOUNT","AMOUNT",$A$1:$A$3,$A210:$B210,M$3:M$5,"#")*12</f>
        <v>0</v>
      </c>
      <c r="N210" s="74" t="e">
        <f>IF(N$1&lt;=#REF!,_xll.GetCtData("PKAMOUNT","AMOUNT",$A$1:$A$3,$A210:$B210,N$3:N$5,"#")*12-SUM($M210:M210),0)</f>
        <v>#REF!</v>
      </c>
      <c r="O210" s="74" t="e">
        <f>IF(O$1&lt;=#REF!,_xll.GetCtData("PKAMOUNT","AMOUNT",$A$1:$A$3,$A210:$B210,O$3:O$5,"#")*12-SUM($M210:N210),0)</f>
        <v>#REF!</v>
      </c>
      <c r="P210" s="74" t="e">
        <f>IF(P$1&lt;=#REF!,_xll.GetCtData("PKAMOUNT","AMOUNT",$A$1:$A$3,$A210:$B210,P$3:P$5,"#")*12-SUM($M210:O210),0)</f>
        <v>#REF!</v>
      </c>
      <c r="Q210" s="74" t="e">
        <f>IF(Q$1&lt;=#REF!,_xll.GetCtData("PKAMOUNT","AMOUNT",$A$1:$A$3,$A210:$B210,Q$3:Q$5,"#")*12-SUM($M210:P210),0)</f>
        <v>#REF!</v>
      </c>
      <c r="R210" s="74" t="e">
        <f>IF(R$1&lt;=#REF!,_xll.GetCtData("PKAMOUNT","AMOUNT",$A$1:$A$3,$A210:$B210,R$3:R$5,"#")*12-SUM($M210:Q210),0)</f>
        <v>#REF!</v>
      </c>
      <c r="S210" s="74" t="e">
        <f>IF(S$1&lt;=#REF!,_xll.GetCtData("PKAMOUNT","AMOUNT",$A$1:$A$3,$A210:$B210,S$3:S$5,"#")*12-SUM($M210:R210),0)</f>
        <v>#REF!</v>
      </c>
      <c r="T210" s="74" t="e">
        <f>IF(T$1&lt;=#REF!,_xll.GetCtData("PKAMOUNT","AMOUNT",$A$1:$A$3,$A210:$B210,T$3:T$5,"#")*12-SUM($M210:S210),0)</f>
        <v>#REF!</v>
      </c>
      <c r="U210" s="74" t="e">
        <f>IF(U$1&lt;=#REF!,_xll.GetCtData("PKAMOUNT","AMOUNT",$A$1:$A$3,$A210:$B210,U$3:U$5,"#")*12-SUM($M210:T210),0)</f>
        <v>#REF!</v>
      </c>
      <c r="V210" s="74" t="e">
        <f>IF(V$1&lt;=#REF!,_xll.GetCtData("PKAMOUNT","AMOUNT",$A$1:$A$3,$A210:$B210,V$3:V$5,"#")*12-SUM($M210:U210),0)</f>
        <v>#REF!</v>
      </c>
      <c r="W210" s="74" t="e">
        <f>IF(W$1&lt;=#REF!,_xll.GetCtData("PKAMOUNT","AMOUNT",$A$1:$A$3,$A210:$B210,W$3:W$5,"#")*12-SUM($M210:V210),0)</f>
        <v>#REF!</v>
      </c>
      <c r="X210" s="74" t="e">
        <f>IF(X$1&lt;=#REF!,_xll.GetCtData("PKAMOUNT","AMOUNT",$A$1:$A$3,$A210:$B210,X$3:X$5,"#")*12-SUM($M210:W210),0)</f>
        <v>#REF!</v>
      </c>
      <c r="Y210" s="74" t="e">
        <f>_xll.GetCtData("PKAMOUNT","AMOUNT",$A$1:$A$3,$A210:$B210,Y$3:Y$5,"#")*12/#REF!</f>
        <v>#REF!</v>
      </c>
      <c r="AA210" s="74">
        <f>$K210</f>
        <v>0</v>
      </c>
      <c r="AB210" s="73" t="e">
        <f t="shared" ref="AB210:AB233" si="149">ROUND($Y210-AA210,2)</f>
        <v>#REF!</v>
      </c>
      <c r="AD210" s="74">
        <f>$L210</f>
        <v>0</v>
      </c>
      <c r="AE210" s="73" t="e">
        <f t="shared" ref="AE210:AE233" si="150">ROUND($Y210-AD210,2)</f>
        <v>#REF!</v>
      </c>
    </row>
    <row r="211" spans="1:39" ht="12.95" customHeight="1" x14ac:dyDescent="0.2">
      <c r="A211" s="35"/>
      <c r="B211" s="35"/>
      <c r="C211" s="4"/>
      <c r="D211" s="4"/>
      <c r="F211" s="39" t="s">
        <v>71</v>
      </c>
      <c r="H211" s="132">
        <f t="shared" ref="H211:Y211" si="151">IF(H$233=0,0,(H$233*1000)/H$210)</f>
        <v>0</v>
      </c>
      <c r="I211" s="132">
        <f t="shared" si="151"/>
        <v>0</v>
      </c>
      <c r="J211" s="132">
        <f t="shared" si="151"/>
        <v>0</v>
      </c>
      <c r="K211" s="133">
        <f t="shared" si="151"/>
        <v>0</v>
      </c>
      <c r="L211" s="133">
        <f t="shared" si="151"/>
        <v>0</v>
      </c>
      <c r="M211" s="132">
        <f t="shared" si="151"/>
        <v>0</v>
      </c>
      <c r="N211" s="132" t="e">
        <f t="shared" si="151"/>
        <v>#REF!</v>
      </c>
      <c r="O211" s="132" t="e">
        <f t="shared" si="151"/>
        <v>#REF!</v>
      </c>
      <c r="P211" s="132" t="e">
        <f t="shared" si="151"/>
        <v>#REF!</v>
      </c>
      <c r="Q211" s="132" t="e">
        <f t="shared" si="151"/>
        <v>#REF!</v>
      </c>
      <c r="R211" s="132" t="e">
        <f t="shared" si="151"/>
        <v>#REF!</v>
      </c>
      <c r="S211" s="132" t="e">
        <f t="shared" si="151"/>
        <v>#REF!</v>
      </c>
      <c r="T211" s="132" t="e">
        <f t="shared" si="151"/>
        <v>#REF!</v>
      </c>
      <c r="U211" s="132" t="e">
        <f t="shared" si="151"/>
        <v>#REF!</v>
      </c>
      <c r="V211" s="132" t="e">
        <f t="shared" si="151"/>
        <v>#REF!</v>
      </c>
      <c r="W211" s="132" t="e">
        <f t="shared" si="151"/>
        <v>#REF!</v>
      </c>
      <c r="X211" s="132" t="e">
        <f t="shared" si="151"/>
        <v>#REF!</v>
      </c>
      <c r="Y211" s="132">
        <f t="shared" si="151"/>
        <v>0</v>
      </c>
      <c r="AA211" s="132" t="e">
        <f>$K211*#REF!/12</f>
        <v>#REF!</v>
      </c>
      <c r="AB211" s="134" t="e">
        <f t="shared" si="149"/>
        <v>#REF!</v>
      </c>
      <c r="AD211" s="132" t="e">
        <f>$L211*#REF!/12</f>
        <v>#REF!</v>
      </c>
      <c r="AE211" s="134" t="e">
        <f t="shared" si="150"/>
        <v>#REF!</v>
      </c>
    </row>
    <row r="212" spans="1:39" ht="18" customHeight="1" x14ac:dyDescent="0.2">
      <c r="A212" s="30" t="s">
        <v>63</v>
      </c>
      <c r="B212" s="30" t="s">
        <v>22</v>
      </c>
      <c r="C212" s="4" t="e">
        <f t="shared" ref="C212:C233" si="152">IF(AND($Y212=0,AA212=0),0,IF(AA212=0,IF($Y212&gt;=0,AB212/$Y212,-AB212/$Y212),IF(AA212&gt;=0,AB212/AA212,-AB212/AA212)))</f>
        <v>#REF!</v>
      </c>
      <c r="D212" s="4" t="e">
        <f t="shared" ref="D212:D233" si="153">IF(AND($Y212=0,AD212=0),0,IF(AD212=0,IF($Y212&gt;=0,AE212/$Y212,-AE212/$Y212),IF(AD212&gt;=0,AE212/AD212,-AE212/AD212)))</f>
        <v>#REF!</v>
      </c>
      <c r="F212" s="106" t="s">
        <v>201</v>
      </c>
      <c r="H212" s="61">
        <f>_xll.GetCtData("PKAMOUNT","AMOUNT",$A$1:$A$3,$A212:$B212,H$3:H$5,"#")</f>
        <v>0</v>
      </c>
      <c r="I212" s="61">
        <f>_xll.GetCtData("PKAMOUNT","AMOUNT",$A$1:$A$3,$A212:$B212,I$3:I$5,"#")</f>
        <v>0</v>
      </c>
      <c r="J212" s="61">
        <f>_xll.GetCtData("PKAMOUNT","AMOUNT",$A$1:$A$3,$A212:$B212,J$3:J$5,"#")</f>
        <v>0</v>
      </c>
      <c r="K212" s="86">
        <f>_xll.GetCtData("PKAMOUNT","AMOUNT",$A$1:$A$3,$A212:$B212,K$3:K$5,"#")</f>
        <v>0</v>
      </c>
      <c r="L212" s="86">
        <f>_xll.GetCtData("PKAMOUNT","AMOUNT",$A$1:$A$3,$A212:$B212,L$3:L$5,"#")</f>
        <v>0</v>
      </c>
      <c r="M212" s="61">
        <f>_xll.GetCtData("PKAMOUNT","AMOUNT",$A$1:$A$3,$A212:$B212,M$3:M$5,"#")</f>
        <v>0</v>
      </c>
      <c r="N212" s="61" t="e">
        <f>IF(N$1&lt;=#REF!,_xll.GetCtData("PKAMOUNT","AMOUNT",$A$1:$A$3,$A212:$B212,N$3:N$5,"#")-SUM($M212:M212),0)</f>
        <v>#REF!</v>
      </c>
      <c r="O212" s="61" t="e">
        <f>IF(O$1&lt;=#REF!,_xll.GetCtData("PKAMOUNT","AMOUNT",$A$1:$A$3,$A212:$B212,O$3:O$5,"#")-SUM($M212:N212),0)</f>
        <v>#REF!</v>
      </c>
      <c r="P212" s="61" t="e">
        <f>IF(P$1&lt;=#REF!,_xll.GetCtData("PKAMOUNT","AMOUNT",$A$1:$A$3,$A212:$B212,P$3:P$5,"#")-SUM($M212:O212),0)</f>
        <v>#REF!</v>
      </c>
      <c r="Q212" s="61" t="e">
        <f>IF(Q$1&lt;=#REF!,_xll.GetCtData("PKAMOUNT","AMOUNT",$A$1:$A$3,$A212:$B212,Q$3:Q$5,"#")-SUM($M212:P212),0)</f>
        <v>#REF!</v>
      </c>
      <c r="R212" s="61" t="e">
        <f>IF(R$1&lt;=#REF!,_xll.GetCtData("PKAMOUNT","AMOUNT",$A$1:$A$3,$A212:$B212,R$3:R$5,"#")-SUM($M212:Q212),0)</f>
        <v>#REF!</v>
      </c>
      <c r="S212" s="61" t="e">
        <f>IF(S$1&lt;=#REF!,_xll.GetCtData("PKAMOUNT","AMOUNT",$A$1:$A$3,$A212:$B212,S$3:S$5,"#")-SUM($M212:R212),0)</f>
        <v>#REF!</v>
      </c>
      <c r="T212" s="61" t="e">
        <f>IF(T$1&lt;=#REF!,_xll.GetCtData("PKAMOUNT","AMOUNT",$A$1:$A$3,$A212:$B212,T$3:T$5,"#")-SUM($M212:S212),0)</f>
        <v>#REF!</v>
      </c>
      <c r="U212" s="61" t="e">
        <f>IF(U$1&lt;=#REF!,_xll.GetCtData("PKAMOUNT","AMOUNT",$A$1:$A$3,$A212:$B212,U$3:U$5,"#")-SUM($M212:T212),0)</f>
        <v>#REF!</v>
      </c>
      <c r="V212" s="61" t="e">
        <f>IF(V$1&lt;=#REF!,_xll.GetCtData("PKAMOUNT","AMOUNT",$A$1:$A$3,$A212:$B212,V$3:V$5,"#")-SUM($M212:U212),0)</f>
        <v>#REF!</v>
      </c>
      <c r="W212" s="61" t="e">
        <f>IF(W$1&lt;=#REF!,_xll.GetCtData("PKAMOUNT","AMOUNT",$A$1:$A$3,$A212:$B212,W$3:W$5,"#")-SUM($M212:V212),0)</f>
        <v>#REF!</v>
      </c>
      <c r="X212" s="61" t="e">
        <f>IF(X$1&lt;=#REF!,_xll.GetCtData("PKAMOUNT","AMOUNT",$A$1:$A$3,$A212:$B212,X$3:X$5,"#")-SUM($M212:W212),0)</f>
        <v>#REF!</v>
      </c>
      <c r="Y212" s="61">
        <f>_xll.GetCtData("PKAMOUNT","AMOUNT",$A$1:$A$3,$A212:$B212,Y$3:Y$5,"#")</f>
        <v>0</v>
      </c>
      <c r="AA212" s="61" t="e">
        <f>$K212*#REF!/12</f>
        <v>#REF!</v>
      </c>
      <c r="AB212" s="60" t="e">
        <f t="shared" si="149"/>
        <v>#REF!</v>
      </c>
      <c r="AD212" s="61" t="e">
        <f>$L212*#REF!/12</f>
        <v>#REF!</v>
      </c>
      <c r="AE212" s="60" t="e">
        <f t="shared" si="150"/>
        <v>#REF!</v>
      </c>
    </row>
    <row r="213" spans="1:39" ht="18" customHeight="1" x14ac:dyDescent="0.2">
      <c r="A213" s="30" t="s">
        <v>64</v>
      </c>
      <c r="B213" s="30" t="s">
        <v>22</v>
      </c>
      <c r="C213" s="4" t="e">
        <f t="shared" si="152"/>
        <v>#REF!</v>
      </c>
      <c r="D213" s="4" t="e">
        <f t="shared" si="153"/>
        <v>#REF!</v>
      </c>
      <c r="F213" s="106" t="s">
        <v>202</v>
      </c>
      <c r="H213" s="61">
        <f>_xll.GetCtData("PKAMOUNT","AMOUNT",$A$1:$A$3,$A213:$B213,H$3:H$5,"#")</f>
        <v>0</v>
      </c>
      <c r="I213" s="61">
        <f>_xll.GetCtData("PKAMOUNT","AMOUNT",$A$1:$A$3,$A213:$B213,I$3:I$5,"#")</f>
        <v>0</v>
      </c>
      <c r="J213" s="61">
        <f>_xll.GetCtData("PKAMOUNT","AMOUNT",$A$1:$A$3,$A213:$B213,J$3:J$5,"#")</f>
        <v>0</v>
      </c>
      <c r="K213" s="86">
        <f>_xll.GetCtData("PKAMOUNT","AMOUNT",$A$1:$A$3,$A213:$B213,K$3:K$5,"#")</f>
        <v>0</v>
      </c>
      <c r="L213" s="86">
        <f>_xll.GetCtData("PKAMOUNT","AMOUNT",$A$1:$A$3,$A213:$B213,L$3:L$5,"#")</f>
        <v>0</v>
      </c>
      <c r="M213" s="61">
        <f>_xll.GetCtData("PKAMOUNT","AMOUNT",$A$1:$A$3,$A213:$B213,M$3:M$5,"#")</f>
        <v>0</v>
      </c>
      <c r="N213" s="61" t="e">
        <f>IF(N$1&lt;=#REF!,_xll.GetCtData("PKAMOUNT","AMOUNT",$A$1:$A$3,$A213:$B213,N$3:N$5,"#")-SUM($M213:M213),0)</f>
        <v>#REF!</v>
      </c>
      <c r="O213" s="61" t="e">
        <f>IF(O$1&lt;=#REF!,_xll.GetCtData("PKAMOUNT","AMOUNT",$A$1:$A$3,$A213:$B213,O$3:O$5,"#")-SUM($M213:N213),0)</f>
        <v>#REF!</v>
      </c>
      <c r="P213" s="61" t="e">
        <f>IF(P$1&lt;=#REF!,_xll.GetCtData("PKAMOUNT","AMOUNT",$A$1:$A$3,$A213:$B213,P$3:P$5,"#")-SUM($M213:O213),0)</f>
        <v>#REF!</v>
      </c>
      <c r="Q213" s="61" t="e">
        <f>IF(Q$1&lt;=#REF!,_xll.GetCtData("PKAMOUNT","AMOUNT",$A$1:$A$3,$A213:$B213,Q$3:Q$5,"#")-SUM($M213:P213),0)</f>
        <v>#REF!</v>
      </c>
      <c r="R213" s="61" t="e">
        <f>IF(R$1&lt;=#REF!,_xll.GetCtData("PKAMOUNT","AMOUNT",$A$1:$A$3,$A213:$B213,R$3:R$5,"#")-SUM($M213:Q213),0)</f>
        <v>#REF!</v>
      </c>
      <c r="S213" s="61" t="e">
        <f>IF(S$1&lt;=#REF!,_xll.GetCtData("PKAMOUNT","AMOUNT",$A$1:$A$3,$A213:$B213,S$3:S$5,"#")-SUM($M213:R213),0)</f>
        <v>#REF!</v>
      </c>
      <c r="T213" s="61" t="e">
        <f>IF(T$1&lt;=#REF!,_xll.GetCtData("PKAMOUNT","AMOUNT",$A$1:$A$3,$A213:$B213,T$3:T$5,"#")-SUM($M213:S213),0)</f>
        <v>#REF!</v>
      </c>
      <c r="U213" s="61" t="e">
        <f>IF(U$1&lt;=#REF!,_xll.GetCtData("PKAMOUNT","AMOUNT",$A$1:$A$3,$A213:$B213,U$3:U$5,"#")-SUM($M213:T213),0)</f>
        <v>#REF!</v>
      </c>
      <c r="V213" s="61" t="e">
        <f>IF(V$1&lt;=#REF!,_xll.GetCtData("PKAMOUNT","AMOUNT",$A$1:$A$3,$A213:$B213,V$3:V$5,"#")-SUM($M213:U213),0)</f>
        <v>#REF!</v>
      </c>
      <c r="W213" s="61" t="e">
        <f>IF(W$1&lt;=#REF!,_xll.GetCtData("PKAMOUNT","AMOUNT",$A$1:$A$3,$A213:$B213,W$3:W$5,"#")-SUM($M213:V213),0)</f>
        <v>#REF!</v>
      </c>
      <c r="X213" s="61" t="e">
        <f>IF(X$1&lt;=#REF!,_xll.GetCtData("PKAMOUNT","AMOUNT",$A$1:$A$3,$A213:$B213,X$3:X$5,"#")-SUM($M213:W213),0)</f>
        <v>#REF!</v>
      </c>
      <c r="Y213" s="61">
        <f>_xll.GetCtData("PKAMOUNT","AMOUNT",$A$1:$A$3,$A213:$B213,Y$3:Y$5,"#")</f>
        <v>0</v>
      </c>
      <c r="AA213" s="61" t="e">
        <f>$K213*#REF!/12</f>
        <v>#REF!</v>
      </c>
      <c r="AB213" s="60" t="e">
        <f t="shared" si="149"/>
        <v>#REF!</v>
      </c>
      <c r="AD213" s="61" t="e">
        <f>$L213*#REF!/12</f>
        <v>#REF!</v>
      </c>
      <c r="AE213" s="60" t="e">
        <f t="shared" si="150"/>
        <v>#REF!</v>
      </c>
    </row>
    <row r="214" spans="1:39" ht="18" hidden="1" customHeight="1" outlineLevel="1" x14ac:dyDescent="0.2">
      <c r="A214" s="30" t="s">
        <v>150</v>
      </c>
      <c r="B214" s="30" t="s">
        <v>22</v>
      </c>
      <c r="C214" s="4" t="e">
        <f t="shared" si="152"/>
        <v>#REF!</v>
      </c>
      <c r="D214" s="4" t="e">
        <f t="shared" si="153"/>
        <v>#REF!</v>
      </c>
      <c r="F214" s="38" t="s">
        <v>151</v>
      </c>
      <c r="G214" s="34"/>
      <c r="H214" s="66">
        <f>_xll.GetCtData("PKAMOUNT","AMOUNT",$A$1:$A$3,$A214:$B214,H$3:H$5,"#")</f>
        <v>0</v>
      </c>
      <c r="I214" s="66">
        <f>_xll.GetCtData("PKAMOUNT","AMOUNT",$A$1:$A$3,$A214:$B214,I$3:I$5,"#")</f>
        <v>0</v>
      </c>
      <c r="J214" s="66">
        <f>_xll.GetCtData("PKAMOUNT","AMOUNT",$A$1:$A$3,$A214:$B214,J$3:J$5,"#")</f>
        <v>0</v>
      </c>
      <c r="K214" s="86">
        <f>_xll.GetCtData("PKAMOUNT","AMOUNT",$A$1:$A$3,$A214:$B214,K$3:K$5,"#")</f>
        <v>0</v>
      </c>
      <c r="L214" s="86">
        <f>_xll.GetCtData("PKAMOUNT","AMOUNT",$A$1:$A$3,$A214:$B214,L$3:L$5,"#")</f>
        <v>0</v>
      </c>
      <c r="M214" s="66">
        <f>_xll.GetCtData("PKAMOUNT","AMOUNT",$A$1:$A$3,$A214:$B214,M$3:M$5,"#")</f>
        <v>0</v>
      </c>
      <c r="N214" s="66" t="e">
        <f>IF(N$1&lt;=#REF!,_xll.GetCtData("PKAMOUNT","AMOUNT",$A$1:$A$3,$A214:$B214,N$3:N$5,"#")-SUM($M214:M214),0)</f>
        <v>#REF!</v>
      </c>
      <c r="O214" s="66" t="e">
        <f>IF(O$1&lt;=#REF!,_xll.GetCtData("PKAMOUNT","AMOUNT",$A$1:$A$3,$A214:$B214,O$3:O$5,"#")-SUM($M214:N214),0)</f>
        <v>#REF!</v>
      </c>
      <c r="P214" s="66" t="e">
        <f>IF(P$1&lt;=#REF!,_xll.GetCtData("PKAMOUNT","AMOUNT",$A$1:$A$3,$A214:$B214,P$3:P$5,"#")-SUM($M214:O214),0)</f>
        <v>#REF!</v>
      </c>
      <c r="Q214" s="66" t="e">
        <f>IF(Q$1&lt;=#REF!,_xll.GetCtData("PKAMOUNT","AMOUNT",$A$1:$A$3,$A214:$B214,Q$3:Q$5,"#")-SUM($M214:P214),0)</f>
        <v>#REF!</v>
      </c>
      <c r="R214" s="66" t="e">
        <f>IF(R$1&lt;=#REF!,_xll.GetCtData("PKAMOUNT","AMOUNT",$A$1:$A$3,$A214:$B214,R$3:R$5,"#")-SUM($M214:Q214),0)</f>
        <v>#REF!</v>
      </c>
      <c r="S214" s="66" t="e">
        <f>IF(S$1&lt;=#REF!,_xll.GetCtData("PKAMOUNT","AMOUNT",$A$1:$A$3,$A214:$B214,S$3:S$5,"#")-SUM($M214:R214),0)</f>
        <v>#REF!</v>
      </c>
      <c r="T214" s="66" t="e">
        <f>IF(T$1&lt;=#REF!,_xll.GetCtData("PKAMOUNT","AMOUNT",$A$1:$A$3,$A214:$B214,T$3:T$5,"#")-SUM($M214:S214),0)</f>
        <v>#REF!</v>
      </c>
      <c r="U214" s="66" t="e">
        <f>IF(U$1&lt;=#REF!,_xll.GetCtData("PKAMOUNT","AMOUNT",$A$1:$A$3,$A214:$B214,U$3:U$5,"#")-SUM($M214:T214),0)</f>
        <v>#REF!</v>
      </c>
      <c r="V214" s="66" t="e">
        <f>IF(V$1&lt;=#REF!,_xll.GetCtData("PKAMOUNT","AMOUNT",$A$1:$A$3,$A214:$B214,V$3:V$5,"#")-SUM($M214:U214),0)</f>
        <v>#REF!</v>
      </c>
      <c r="W214" s="66" t="e">
        <f>IF(W$1&lt;=#REF!,_xll.GetCtData("PKAMOUNT","AMOUNT",$A$1:$A$3,$A214:$B214,W$3:W$5,"#")-SUM($M214:V214),0)</f>
        <v>#REF!</v>
      </c>
      <c r="X214" s="66" t="e">
        <f>IF(X$1&lt;=#REF!,_xll.GetCtData("PKAMOUNT","AMOUNT",$A$1:$A$3,$A214:$B214,X$3:X$5,"#")-SUM($M214:W214),0)</f>
        <v>#REF!</v>
      </c>
      <c r="Y214" s="66">
        <f>_xll.GetCtData("PKAMOUNT","AMOUNT",$A$1:$A$3,$A214:$B214,Y$3:Y$5,"#")</f>
        <v>0</v>
      </c>
      <c r="Z214" s="34"/>
      <c r="AA214" s="66" t="e">
        <f>$K214*#REF!/12</f>
        <v>#REF!</v>
      </c>
      <c r="AB214" s="60" t="e">
        <f t="shared" si="149"/>
        <v>#REF!</v>
      </c>
      <c r="AC214" s="34"/>
      <c r="AD214" s="66" t="e">
        <f>$L214*#REF!/12</f>
        <v>#REF!</v>
      </c>
      <c r="AE214" s="60" t="e">
        <f t="shared" si="150"/>
        <v>#REF!</v>
      </c>
    </row>
    <row r="215" spans="1:39" ht="18" hidden="1" customHeight="1" outlineLevel="1" x14ac:dyDescent="0.2">
      <c r="A215" s="30" t="s">
        <v>168</v>
      </c>
      <c r="B215" s="30" t="s">
        <v>22</v>
      </c>
      <c r="C215" s="4" t="e">
        <f t="shared" si="152"/>
        <v>#REF!</v>
      </c>
      <c r="D215" s="4" t="e">
        <f t="shared" si="153"/>
        <v>#REF!</v>
      </c>
      <c r="F215" s="38" t="s">
        <v>169</v>
      </c>
      <c r="G215" s="34"/>
      <c r="H215" s="66">
        <f>_xll.GetCtData("PKAMOUNT","AMOUNT",$A$1:$A$3,$A215:$B215,H$3:H$5,"#")</f>
        <v>0</v>
      </c>
      <c r="I215" s="66">
        <f>_xll.GetCtData("PKAMOUNT","AMOUNT",$A$1:$A$3,$A215:$B215,I$3:I$5,"#")</f>
        <v>0</v>
      </c>
      <c r="J215" s="66">
        <f>_xll.GetCtData("PKAMOUNT","AMOUNT",$A$1:$A$3,$A215:$B215,J$3:J$5,"#")</f>
        <v>0</v>
      </c>
      <c r="K215" s="86">
        <f>_xll.GetCtData("PKAMOUNT","AMOUNT",$A$1:$A$3,$A215:$B215,K$3:K$5,"#")</f>
        <v>0</v>
      </c>
      <c r="L215" s="86">
        <f>_xll.GetCtData("PKAMOUNT","AMOUNT",$A$1:$A$3,$A215:$B215,L$3:L$5,"#")</f>
        <v>0</v>
      </c>
      <c r="M215" s="66">
        <f>_xll.GetCtData("PKAMOUNT","AMOUNT",$A$1:$A$3,$A215:$B215,M$3:M$5,"#")</f>
        <v>0</v>
      </c>
      <c r="N215" s="66" t="e">
        <f>IF(N$1&lt;=#REF!,_xll.GetCtData("PKAMOUNT","AMOUNT",$A$1:$A$3,$A215:$B215,N$3:N$5,"#")-SUM($M215:M215),0)</f>
        <v>#REF!</v>
      </c>
      <c r="O215" s="66" t="e">
        <f>IF(O$1&lt;=#REF!,_xll.GetCtData("PKAMOUNT","AMOUNT",$A$1:$A$3,$A215:$B215,O$3:O$5,"#")-SUM($M215:N215),0)</f>
        <v>#REF!</v>
      </c>
      <c r="P215" s="66" t="e">
        <f>IF(P$1&lt;=#REF!,_xll.GetCtData("PKAMOUNT","AMOUNT",$A$1:$A$3,$A215:$B215,P$3:P$5,"#")-SUM($M215:O215),0)</f>
        <v>#REF!</v>
      </c>
      <c r="Q215" s="66" t="e">
        <f>IF(Q$1&lt;=#REF!,_xll.GetCtData("PKAMOUNT","AMOUNT",$A$1:$A$3,$A215:$B215,Q$3:Q$5,"#")-SUM($M215:P215),0)</f>
        <v>#REF!</v>
      </c>
      <c r="R215" s="66" t="e">
        <f>IF(R$1&lt;=#REF!,_xll.GetCtData("PKAMOUNT","AMOUNT",$A$1:$A$3,$A215:$B215,R$3:R$5,"#")-SUM($M215:Q215),0)</f>
        <v>#REF!</v>
      </c>
      <c r="S215" s="66" t="e">
        <f>IF(S$1&lt;=#REF!,_xll.GetCtData("PKAMOUNT","AMOUNT",$A$1:$A$3,$A215:$B215,S$3:S$5,"#")-SUM($M215:R215),0)</f>
        <v>#REF!</v>
      </c>
      <c r="T215" s="66" t="e">
        <f>IF(T$1&lt;=#REF!,_xll.GetCtData("PKAMOUNT","AMOUNT",$A$1:$A$3,$A215:$B215,T$3:T$5,"#")-SUM($M215:S215),0)</f>
        <v>#REF!</v>
      </c>
      <c r="U215" s="66" t="e">
        <f>IF(U$1&lt;=#REF!,_xll.GetCtData("PKAMOUNT","AMOUNT",$A$1:$A$3,$A215:$B215,U$3:U$5,"#")-SUM($M215:T215),0)</f>
        <v>#REF!</v>
      </c>
      <c r="V215" s="66" t="e">
        <f>IF(V$1&lt;=#REF!,_xll.GetCtData("PKAMOUNT","AMOUNT",$A$1:$A$3,$A215:$B215,V$3:V$5,"#")-SUM($M215:U215),0)</f>
        <v>#REF!</v>
      </c>
      <c r="W215" s="66" t="e">
        <f>IF(W$1&lt;=#REF!,_xll.GetCtData("PKAMOUNT","AMOUNT",$A$1:$A$3,$A215:$B215,W$3:W$5,"#")-SUM($M215:V215),0)</f>
        <v>#REF!</v>
      </c>
      <c r="X215" s="66" t="e">
        <f>IF(X$1&lt;=#REF!,_xll.GetCtData("PKAMOUNT","AMOUNT",$A$1:$A$3,$A215:$B215,X$3:X$5,"#")-SUM($M215:W215),0)</f>
        <v>#REF!</v>
      </c>
      <c r="Y215" s="66">
        <f>_xll.GetCtData("PKAMOUNT","AMOUNT",$A$1:$A$3,$A215:$B215,Y$3:Y$5,"#")</f>
        <v>0</v>
      </c>
      <c r="Z215" s="34"/>
      <c r="AA215" s="66" t="e">
        <f>$K215*#REF!/12</f>
        <v>#REF!</v>
      </c>
      <c r="AB215" s="60" t="e">
        <f t="shared" si="149"/>
        <v>#REF!</v>
      </c>
      <c r="AC215" s="34"/>
      <c r="AD215" s="66" t="e">
        <f>$L215*#REF!/12</f>
        <v>#REF!</v>
      </c>
      <c r="AE215" s="60" t="e">
        <f t="shared" si="150"/>
        <v>#REF!</v>
      </c>
    </row>
    <row r="216" spans="1:39" ht="18" hidden="1" customHeight="1" outlineLevel="1" x14ac:dyDescent="0.2">
      <c r="A216" s="30" t="s">
        <v>170</v>
      </c>
      <c r="B216" s="30" t="s">
        <v>22</v>
      </c>
      <c r="C216" s="4" t="e">
        <f t="shared" si="152"/>
        <v>#REF!</v>
      </c>
      <c r="D216" s="4" t="e">
        <f t="shared" si="153"/>
        <v>#REF!</v>
      </c>
      <c r="F216" s="38" t="s">
        <v>171</v>
      </c>
      <c r="G216" s="34"/>
      <c r="H216" s="66">
        <f>_xll.GetCtData("PKAMOUNT","AMOUNT",$A$1:$A$3,$A216:$B216,H$3:H$5,"#")</f>
        <v>0</v>
      </c>
      <c r="I216" s="66">
        <f>_xll.GetCtData("PKAMOUNT","AMOUNT",$A$1:$A$3,$A216:$B216,I$3:I$5,"#")</f>
        <v>0</v>
      </c>
      <c r="J216" s="66">
        <f>_xll.GetCtData("PKAMOUNT","AMOUNT",$A$1:$A$3,$A216:$B216,J$3:J$5,"#")</f>
        <v>0</v>
      </c>
      <c r="K216" s="86">
        <f>_xll.GetCtData("PKAMOUNT","AMOUNT",$A$1:$A$3,$A216:$B216,K$3:K$5,"#")</f>
        <v>0</v>
      </c>
      <c r="L216" s="86">
        <f>_xll.GetCtData("PKAMOUNT","AMOUNT",$A$1:$A$3,$A216:$B216,L$3:L$5,"#")</f>
        <v>0</v>
      </c>
      <c r="M216" s="66">
        <f>_xll.GetCtData("PKAMOUNT","AMOUNT",$A$1:$A$3,$A216:$B216,M$3:M$5,"#")</f>
        <v>0</v>
      </c>
      <c r="N216" s="66" t="e">
        <f>IF(N$1&lt;=#REF!,_xll.GetCtData("PKAMOUNT","AMOUNT",$A$1:$A$3,$A216:$B216,N$3:N$5,"#")-SUM($M216:M216),0)</f>
        <v>#REF!</v>
      </c>
      <c r="O216" s="66" t="e">
        <f>IF(O$1&lt;=#REF!,_xll.GetCtData("PKAMOUNT","AMOUNT",$A$1:$A$3,$A216:$B216,O$3:O$5,"#")-SUM($M216:N216),0)</f>
        <v>#REF!</v>
      </c>
      <c r="P216" s="66" t="e">
        <f>IF(P$1&lt;=#REF!,_xll.GetCtData("PKAMOUNT","AMOUNT",$A$1:$A$3,$A216:$B216,P$3:P$5,"#")-SUM($M216:O216),0)</f>
        <v>#REF!</v>
      </c>
      <c r="Q216" s="66" t="e">
        <f>IF(Q$1&lt;=#REF!,_xll.GetCtData("PKAMOUNT","AMOUNT",$A$1:$A$3,$A216:$B216,Q$3:Q$5,"#")-SUM($M216:P216),0)</f>
        <v>#REF!</v>
      </c>
      <c r="R216" s="66" t="e">
        <f>IF(R$1&lt;=#REF!,_xll.GetCtData("PKAMOUNT","AMOUNT",$A$1:$A$3,$A216:$B216,R$3:R$5,"#")-SUM($M216:Q216),0)</f>
        <v>#REF!</v>
      </c>
      <c r="S216" s="66" t="e">
        <f>IF(S$1&lt;=#REF!,_xll.GetCtData("PKAMOUNT","AMOUNT",$A$1:$A$3,$A216:$B216,S$3:S$5,"#")-SUM($M216:R216),0)</f>
        <v>#REF!</v>
      </c>
      <c r="T216" s="66" t="e">
        <f>IF(T$1&lt;=#REF!,_xll.GetCtData("PKAMOUNT","AMOUNT",$A$1:$A$3,$A216:$B216,T$3:T$5,"#")-SUM($M216:S216),0)</f>
        <v>#REF!</v>
      </c>
      <c r="U216" s="66" t="e">
        <f>IF(U$1&lt;=#REF!,_xll.GetCtData("PKAMOUNT","AMOUNT",$A$1:$A$3,$A216:$B216,U$3:U$5,"#")-SUM($M216:T216),0)</f>
        <v>#REF!</v>
      </c>
      <c r="V216" s="66" t="e">
        <f>IF(V$1&lt;=#REF!,_xll.GetCtData("PKAMOUNT","AMOUNT",$A$1:$A$3,$A216:$B216,V$3:V$5,"#")-SUM($M216:U216),0)</f>
        <v>#REF!</v>
      </c>
      <c r="W216" s="66" t="e">
        <f>IF(W$1&lt;=#REF!,_xll.GetCtData("PKAMOUNT","AMOUNT",$A$1:$A$3,$A216:$B216,W$3:W$5,"#")-SUM($M216:V216),0)</f>
        <v>#REF!</v>
      </c>
      <c r="X216" s="66" t="e">
        <f>IF(X$1&lt;=#REF!,_xll.GetCtData("PKAMOUNT","AMOUNT",$A$1:$A$3,$A216:$B216,X$3:X$5,"#")-SUM($M216:W216),0)</f>
        <v>#REF!</v>
      </c>
      <c r="Y216" s="66">
        <f>_xll.GetCtData("PKAMOUNT","AMOUNT",$A$1:$A$3,$A216:$B216,Y$3:Y$5,"#")</f>
        <v>0</v>
      </c>
      <c r="Z216" s="34"/>
      <c r="AA216" s="66" t="e">
        <f>$K216*#REF!/12</f>
        <v>#REF!</v>
      </c>
      <c r="AB216" s="60" t="e">
        <f t="shared" si="149"/>
        <v>#REF!</v>
      </c>
      <c r="AC216" s="34"/>
      <c r="AD216" s="66" t="e">
        <f>$L216*#REF!/12</f>
        <v>#REF!</v>
      </c>
      <c r="AE216" s="60" t="e">
        <f t="shared" si="150"/>
        <v>#REF!</v>
      </c>
    </row>
    <row r="217" spans="1:39" ht="18" customHeight="1" collapsed="1" x14ac:dyDescent="0.2">
      <c r="A217" s="35"/>
      <c r="B217" s="35"/>
      <c r="C217" s="4" t="e">
        <f t="shared" si="152"/>
        <v>#REF!</v>
      </c>
      <c r="D217" s="4" t="e">
        <f t="shared" si="153"/>
        <v>#REF!</v>
      </c>
      <c r="F217" s="106" t="s">
        <v>151</v>
      </c>
      <c r="H217" s="61">
        <f t="shared" ref="H217:Y217" si="154">H214+H215+H216</f>
        <v>0</v>
      </c>
      <c r="I217" s="61">
        <f t="shared" si="154"/>
        <v>0</v>
      </c>
      <c r="J217" s="61">
        <f t="shared" si="154"/>
        <v>0</v>
      </c>
      <c r="K217" s="86">
        <f t="shared" si="154"/>
        <v>0</v>
      </c>
      <c r="L217" s="86">
        <f t="shared" si="154"/>
        <v>0</v>
      </c>
      <c r="M217" s="61">
        <f t="shared" si="154"/>
        <v>0</v>
      </c>
      <c r="N217" s="61" t="e">
        <f t="shared" si="154"/>
        <v>#REF!</v>
      </c>
      <c r="O217" s="61" t="e">
        <f t="shared" si="154"/>
        <v>#REF!</v>
      </c>
      <c r="P217" s="61" t="e">
        <f t="shared" si="154"/>
        <v>#REF!</v>
      </c>
      <c r="Q217" s="61" t="e">
        <f t="shared" si="154"/>
        <v>#REF!</v>
      </c>
      <c r="R217" s="61" t="e">
        <f t="shared" si="154"/>
        <v>#REF!</v>
      </c>
      <c r="S217" s="61" t="e">
        <f t="shared" ref="S217:T217" si="155">S214+S215+S216</f>
        <v>#REF!</v>
      </c>
      <c r="T217" s="61" t="e">
        <f t="shared" si="155"/>
        <v>#REF!</v>
      </c>
      <c r="U217" s="61" t="e">
        <f t="shared" si="154"/>
        <v>#REF!</v>
      </c>
      <c r="V217" s="61" t="e">
        <f t="shared" si="154"/>
        <v>#REF!</v>
      </c>
      <c r="W217" s="61" t="e">
        <f t="shared" si="154"/>
        <v>#REF!</v>
      </c>
      <c r="X217" s="61" t="e">
        <f t="shared" si="154"/>
        <v>#REF!</v>
      </c>
      <c r="Y217" s="61">
        <f t="shared" si="154"/>
        <v>0</v>
      </c>
      <c r="AA217" s="61" t="e">
        <f>$K217*#REF!/12</f>
        <v>#REF!</v>
      </c>
      <c r="AB217" s="60" t="e">
        <f t="shared" si="149"/>
        <v>#REF!</v>
      </c>
      <c r="AD217" s="61" t="e">
        <f>$L217*#REF!/12</f>
        <v>#REF!</v>
      </c>
      <c r="AE217" s="60" t="e">
        <f t="shared" si="150"/>
        <v>#REF!</v>
      </c>
    </row>
    <row r="218" spans="1:39" ht="18" customHeight="1" collapsed="1" x14ac:dyDescent="0.2">
      <c r="A218" s="30" t="s">
        <v>146</v>
      </c>
      <c r="B218" s="30" t="s">
        <v>22</v>
      </c>
      <c r="C218" s="4" t="e">
        <f t="shared" si="152"/>
        <v>#REF!</v>
      </c>
      <c r="D218" s="4" t="e">
        <f t="shared" si="153"/>
        <v>#REF!</v>
      </c>
      <c r="F218" s="106" t="s">
        <v>147</v>
      </c>
      <c r="H218" s="61">
        <f>_xll.GetCtData("PKAMOUNT","AMOUNT",$A$1:$A$3,$A218:$B218,H$3:H$5,"#")</f>
        <v>0</v>
      </c>
      <c r="I218" s="61">
        <f>_xll.GetCtData("PKAMOUNT","AMOUNT",$A$1:$A$3,$A218:$B218,I$3:I$5,"#")</f>
        <v>0</v>
      </c>
      <c r="J218" s="61">
        <f>_xll.GetCtData("PKAMOUNT","AMOUNT",$A$1:$A$3,$A218:$B218,J$3:J$5,"#")</f>
        <v>0</v>
      </c>
      <c r="K218" s="86">
        <f>_xll.GetCtData("PKAMOUNT","AMOUNT",$A$1:$A$3,$A218:$B218,K$3:K$5,"#")</f>
        <v>0</v>
      </c>
      <c r="L218" s="86">
        <f>_xll.GetCtData("PKAMOUNT","AMOUNT",$A$1:$A$3,$A218:$B218,L$3:L$5,"#")</f>
        <v>0</v>
      </c>
      <c r="M218" s="61">
        <f>_xll.GetCtData("PKAMOUNT","AMOUNT",$A$1:$A$3,$A218:$B218,M$3:M$5,"#")</f>
        <v>0</v>
      </c>
      <c r="N218" s="61" t="e">
        <f>IF(N$1&lt;=#REF!,_xll.GetCtData("PKAMOUNT","AMOUNT",$A$1:$A$3,$A218:$B218,N$3:N$5,"#")-SUM($M218:M218),0)</f>
        <v>#REF!</v>
      </c>
      <c r="O218" s="61" t="e">
        <f>IF(O$1&lt;=#REF!,_xll.GetCtData("PKAMOUNT","AMOUNT",$A$1:$A$3,$A218:$B218,O$3:O$5,"#")-SUM($M218:N218),0)</f>
        <v>#REF!</v>
      </c>
      <c r="P218" s="61" t="e">
        <f>IF(P$1&lt;=#REF!,_xll.GetCtData("PKAMOUNT","AMOUNT",$A$1:$A$3,$A218:$B218,P$3:P$5,"#")-SUM($M218:O218),0)</f>
        <v>#REF!</v>
      </c>
      <c r="Q218" s="61" t="e">
        <f>IF(Q$1&lt;=#REF!,_xll.GetCtData("PKAMOUNT","AMOUNT",$A$1:$A$3,$A218:$B218,Q$3:Q$5,"#")-SUM($M218:P218),0)</f>
        <v>#REF!</v>
      </c>
      <c r="R218" s="61" t="e">
        <f>IF(R$1&lt;=#REF!,_xll.GetCtData("PKAMOUNT","AMOUNT",$A$1:$A$3,$A218:$B218,R$3:R$5,"#")-SUM($M218:Q218),0)</f>
        <v>#REF!</v>
      </c>
      <c r="S218" s="61" t="e">
        <f>IF(S$1&lt;=#REF!,_xll.GetCtData("PKAMOUNT","AMOUNT",$A$1:$A$3,$A218:$B218,S$3:S$5,"#")-SUM($M218:R218),0)</f>
        <v>#REF!</v>
      </c>
      <c r="T218" s="61" t="e">
        <f>IF(T$1&lt;=#REF!,_xll.GetCtData("PKAMOUNT","AMOUNT",$A$1:$A$3,$A218:$B218,T$3:T$5,"#")-SUM($M218:S218),0)</f>
        <v>#REF!</v>
      </c>
      <c r="U218" s="61" t="e">
        <f>IF(U$1&lt;=#REF!,_xll.GetCtData("PKAMOUNT","AMOUNT",$A$1:$A$3,$A218:$B218,U$3:U$5,"#")-SUM($M218:T218),0)</f>
        <v>#REF!</v>
      </c>
      <c r="V218" s="61" t="e">
        <f>IF(V$1&lt;=#REF!,_xll.GetCtData("PKAMOUNT","AMOUNT",$A$1:$A$3,$A218:$B218,V$3:V$5,"#")-SUM($M218:U218),0)</f>
        <v>#REF!</v>
      </c>
      <c r="W218" s="61" t="e">
        <f>IF(W$1&lt;=#REF!,_xll.GetCtData("PKAMOUNT","AMOUNT",$A$1:$A$3,$A218:$B218,W$3:W$5,"#")-SUM($M218:V218),0)</f>
        <v>#REF!</v>
      </c>
      <c r="X218" s="61" t="e">
        <f>IF(X$1&lt;=#REF!,_xll.GetCtData("PKAMOUNT","AMOUNT",$A$1:$A$3,$A218:$B218,X$3:X$5,"#")-SUM($M218:W218),0)</f>
        <v>#REF!</v>
      </c>
      <c r="Y218" s="61">
        <f>_xll.GetCtData("PKAMOUNT","AMOUNT",$A$1:$A$3,$A218:$B218,Y$3:Y$5,"#")</f>
        <v>0</v>
      </c>
      <c r="AA218" s="61" t="e">
        <f>$K218*#REF!/12</f>
        <v>#REF!</v>
      </c>
      <c r="AB218" s="60" t="e">
        <f t="shared" si="149"/>
        <v>#REF!</v>
      </c>
      <c r="AD218" s="61" t="e">
        <f>$L218*#REF!/12</f>
        <v>#REF!</v>
      </c>
      <c r="AE218" s="60" t="e">
        <f t="shared" si="150"/>
        <v>#REF!</v>
      </c>
    </row>
    <row r="219" spans="1:39" ht="18" hidden="1" customHeight="1" outlineLevel="1" x14ac:dyDescent="0.2">
      <c r="A219" s="30" t="s">
        <v>154</v>
      </c>
      <c r="B219" s="30" t="s">
        <v>22</v>
      </c>
      <c r="C219" s="4" t="e">
        <f t="shared" si="152"/>
        <v>#REF!</v>
      </c>
      <c r="D219" s="4" t="e">
        <f t="shared" si="153"/>
        <v>#REF!</v>
      </c>
      <c r="F219" s="38" t="s">
        <v>155</v>
      </c>
      <c r="G219" s="34"/>
      <c r="H219" s="66">
        <f>_xll.GetCtData("PKAMOUNT","AMOUNT",$A$1:$A$3,$A219:$B219,H$3:H$5,"#")</f>
        <v>0</v>
      </c>
      <c r="I219" s="66">
        <f>_xll.GetCtData("PKAMOUNT","AMOUNT",$A$1:$A$3,$A219:$B219,I$3:I$5,"#")</f>
        <v>0</v>
      </c>
      <c r="J219" s="66">
        <f>_xll.GetCtData("PKAMOUNT","AMOUNT",$A$1:$A$3,$A219:$B219,J$3:J$5,"#")</f>
        <v>0</v>
      </c>
      <c r="K219" s="86">
        <f>_xll.GetCtData("PKAMOUNT","AMOUNT",$A$1:$A$3,$A219:$B219,K$3:K$5,"#")</f>
        <v>0</v>
      </c>
      <c r="L219" s="86">
        <f>_xll.GetCtData("PKAMOUNT","AMOUNT",$A$1:$A$3,$A219:$B219,L$3:L$5,"#")</f>
        <v>0</v>
      </c>
      <c r="M219" s="66">
        <f>_xll.GetCtData("PKAMOUNT","AMOUNT",$A$1:$A$3,$A219:$B219,M$3:M$5,"#")</f>
        <v>0</v>
      </c>
      <c r="N219" s="66" t="e">
        <f>IF(N$1&lt;=#REF!,_xll.GetCtData("PKAMOUNT","AMOUNT",$A$1:$A$3,$A219:$B219,N$3:N$5,"#")-SUM($M219:M219),0)</f>
        <v>#REF!</v>
      </c>
      <c r="O219" s="66" t="e">
        <f>IF(O$1&lt;=#REF!,_xll.GetCtData("PKAMOUNT","AMOUNT",$A$1:$A$3,$A219:$B219,O$3:O$5,"#")-SUM($M219:N219),0)</f>
        <v>#REF!</v>
      </c>
      <c r="P219" s="66" t="e">
        <f>IF(P$1&lt;=#REF!,_xll.GetCtData("PKAMOUNT","AMOUNT",$A$1:$A$3,$A219:$B219,P$3:P$5,"#")-SUM($M219:O219),0)</f>
        <v>#REF!</v>
      </c>
      <c r="Q219" s="66" t="e">
        <f>IF(Q$1&lt;=#REF!,_xll.GetCtData("PKAMOUNT","AMOUNT",$A$1:$A$3,$A219:$B219,Q$3:Q$5,"#")-SUM($M219:P219),0)</f>
        <v>#REF!</v>
      </c>
      <c r="R219" s="66" t="e">
        <f>IF(R$1&lt;=#REF!,_xll.GetCtData("PKAMOUNT","AMOUNT",$A$1:$A$3,$A219:$B219,R$3:R$5,"#")-SUM($M219:Q219),0)</f>
        <v>#REF!</v>
      </c>
      <c r="S219" s="66" t="e">
        <f>IF(S$1&lt;=#REF!,_xll.GetCtData("PKAMOUNT","AMOUNT",$A$1:$A$3,$A219:$B219,S$3:S$5,"#")-SUM($M219:R219),0)</f>
        <v>#REF!</v>
      </c>
      <c r="T219" s="66" t="e">
        <f>IF(T$1&lt;=#REF!,_xll.GetCtData("PKAMOUNT","AMOUNT",$A$1:$A$3,$A219:$B219,T$3:T$5,"#")-SUM($M219:S219),0)</f>
        <v>#REF!</v>
      </c>
      <c r="U219" s="66" t="e">
        <f>IF(U$1&lt;=#REF!,_xll.GetCtData("PKAMOUNT","AMOUNT",$A$1:$A$3,$A219:$B219,U$3:U$5,"#")-SUM($M219:T219),0)</f>
        <v>#REF!</v>
      </c>
      <c r="V219" s="66" t="e">
        <f>IF(V$1&lt;=#REF!,_xll.GetCtData("PKAMOUNT","AMOUNT",$A$1:$A$3,$A219:$B219,V$3:V$5,"#")-SUM($M219:U219),0)</f>
        <v>#REF!</v>
      </c>
      <c r="W219" s="66" t="e">
        <f>IF(W$1&lt;=#REF!,_xll.GetCtData("PKAMOUNT","AMOUNT",$A$1:$A$3,$A219:$B219,W$3:W$5,"#")-SUM($M219:V219),0)</f>
        <v>#REF!</v>
      </c>
      <c r="X219" s="66" t="e">
        <f>IF(X$1&lt;=#REF!,_xll.GetCtData("PKAMOUNT","AMOUNT",$A$1:$A$3,$A219:$B219,X$3:X$5,"#")-SUM($M219:W219),0)</f>
        <v>#REF!</v>
      </c>
      <c r="Y219" s="66">
        <f>_xll.GetCtData("PKAMOUNT","AMOUNT",$A$1:$A$3,$A219:$B219,Y$3:Y$5,"#")</f>
        <v>0</v>
      </c>
      <c r="Z219" s="34"/>
      <c r="AA219" s="66" t="e">
        <f>$K219*#REF!/12</f>
        <v>#REF!</v>
      </c>
      <c r="AB219" s="60" t="e">
        <f t="shared" si="149"/>
        <v>#REF!</v>
      </c>
      <c r="AC219" s="34"/>
      <c r="AD219" s="66" t="e">
        <f>$L219*#REF!/12</f>
        <v>#REF!</v>
      </c>
      <c r="AE219" s="60" t="e">
        <f t="shared" si="150"/>
        <v>#REF!</v>
      </c>
    </row>
    <row r="220" spans="1:39" ht="18" hidden="1" customHeight="1" outlineLevel="1" x14ac:dyDescent="0.2">
      <c r="A220" s="30" t="s">
        <v>156</v>
      </c>
      <c r="B220" s="30" t="s">
        <v>22</v>
      </c>
      <c r="C220" s="4" t="e">
        <f t="shared" si="152"/>
        <v>#REF!</v>
      </c>
      <c r="D220" s="4" t="e">
        <f t="shared" si="153"/>
        <v>#REF!</v>
      </c>
      <c r="F220" s="38" t="s">
        <v>157</v>
      </c>
      <c r="G220" s="34"/>
      <c r="H220" s="66">
        <f>_xll.GetCtData("PKAMOUNT","AMOUNT",$A$1:$A$3,$A220:$B220,H$3:H$5,"#")</f>
        <v>0</v>
      </c>
      <c r="I220" s="66">
        <f>_xll.GetCtData("PKAMOUNT","AMOUNT",$A$1:$A$3,$A220:$B220,I$3:I$5,"#")</f>
        <v>0</v>
      </c>
      <c r="J220" s="66">
        <f>_xll.GetCtData("PKAMOUNT","AMOUNT",$A$1:$A$3,$A220:$B220,J$3:J$5,"#")</f>
        <v>0</v>
      </c>
      <c r="K220" s="86">
        <f>_xll.GetCtData("PKAMOUNT","AMOUNT",$A$1:$A$3,$A220:$B220,K$3:K$5,"#")</f>
        <v>0</v>
      </c>
      <c r="L220" s="86">
        <f>_xll.GetCtData("PKAMOUNT","AMOUNT",$A$1:$A$3,$A220:$B220,L$3:L$5,"#")</f>
        <v>0</v>
      </c>
      <c r="M220" s="66">
        <f>_xll.GetCtData("PKAMOUNT","AMOUNT",$A$1:$A$3,$A220:$B220,M$3:M$5,"#")</f>
        <v>0</v>
      </c>
      <c r="N220" s="66" t="e">
        <f>IF(N$1&lt;=#REF!,_xll.GetCtData("PKAMOUNT","AMOUNT",$A$1:$A$3,$A220:$B220,N$3:N$5,"#")-SUM($M220:M220),0)</f>
        <v>#REF!</v>
      </c>
      <c r="O220" s="66" t="e">
        <f>IF(O$1&lt;=#REF!,_xll.GetCtData("PKAMOUNT","AMOUNT",$A$1:$A$3,$A220:$B220,O$3:O$5,"#")-SUM($M220:N220),0)</f>
        <v>#REF!</v>
      </c>
      <c r="P220" s="66" t="e">
        <f>IF(P$1&lt;=#REF!,_xll.GetCtData("PKAMOUNT","AMOUNT",$A$1:$A$3,$A220:$B220,P$3:P$5,"#")-SUM($M220:O220),0)</f>
        <v>#REF!</v>
      </c>
      <c r="Q220" s="66" t="e">
        <f>IF(Q$1&lt;=#REF!,_xll.GetCtData("PKAMOUNT","AMOUNT",$A$1:$A$3,$A220:$B220,Q$3:Q$5,"#")-SUM($M220:P220),0)</f>
        <v>#REF!</v>
      </c>
      <c r="R220" s="66" t="e">
        <f>IF(R$1&lt;=#REF!,_xll.GetCtData("PKAMOUNT","AMOUNT",$A$1:$A$3,$A220:$B220,R$3:R$5,"#")-SUM($M220:Q220),0)</f>
        <v>#REF!</v>
      </c>
      <c r="S220" s="66" t="e">
        <f>IF(S$1&lt;=#REF!,_xll.GetCtData("PKAMOUNT","AMOUNT",$A$1:$A$3,$A220:$B220,S$3:S$5,"#")-SUM($M220:R220),0)</f>
        <v>#REF!</v>
      </c>
      <c r="T220" s="66" t="e">
        <f>IF(T$1&lt;=#REF!,_xll.GetCtData("PKAMOUNT","AMOUNT",$A$1:$A$3,$A220:$B220,T$3:T$5,"#")-SUM($M220:S220),0)</f>
        <v>#REF!</v>
      </c>
      <c r="U220" s="66" t="e">
        <f>IF(U$1&lt;=#REF!,_xll.GetCtData("PKAMOUNT","AMOUNT",$A$1:$A$3,$A220:$B220,U$3:U$5,"#")-SUM($M220:T220),0)</f>
        <v>#REF!</v>
      </c>
      <c r="V220" s="66" t="e">
        <f>IF(V$1&lt;=#REF!,_xll.GetCtData("PKAMOUNT","AMOUNT",$A$1:$A$3,$A220:$B220,V$3:V$5,"#")-SUM($M220:U220),0)</f>
        <v>#REF!</v>
      </c>
      <c r="W220" s="66" t="e">
        <f>IF(W$1&lt;=#REF!,_xll.GetCtData("PKAMOUNT","AMOUNT",$A$1:$A$3,$A220:$B220,W$3:W$5,"#")-SUM($M220:V220),0)</f>
        <v>#REF!</v>
      </c>
      <c r="X220" s="66" t="e">
        <f>IF(X$1&lt;=#REF!,_xll.GetCtData("PKAMOUNT","AMOUNT",$A$1:$A$3,$A220:$B220,X$3:X$5,"#")-SUM($M220:W220),0)</f>
        <v>#REF!</v>
      </c>
      <c r="Y220" s="66">
        <f>_xll.GetCtData("PKAMOUNT","AMOUNT",$A$1:$A$3,$A220:$B220,Y$3:Y$5,"#")</f>
        <v>0</v>
      </c>
      <c r="Z220" s="34"/>
      <c r="AA220" s="66" t="e">
        <f>$K220*#REF!/12</f>
        <v>#REF!</v>
      </c>
      <c r="AB220" s="60" t="e">
        <f t="shared" si="149"/>
        <v>#REF!</v>
      </c>
      <c r="AC220" s="34"/>
      <c r="AD220" s="66" t="e">
        <f>$L220*#REF!/12</f>
        <v>#REF!</v>
      </c>
      <c r="AE220" s="60" t="e">
        <f t="shared" si="150"/>
        <v>#REF!</v>
      </c>
    </row>
    <row r="221" spans="1:39" ht="18" hidden="1" customHeight="1" outlineLevel="1" x14ac:dyDescent="0.2">
      <c r="A221" s="30" t="s">
        <v>160</v>
      </c>
      <c r="B221" s="30" t="s">
        <v>22</v>
      </c>
      <c r="C221" s="4" t="e">
        <f t="shared" si="152"/>
        <v>#REF!</v>
      </c>
      <c r="D221" s="4" t="e">
        <f t="shared" si="153"/>
        <v>#REF!</v>
      </c>
      <c r="F221" s="38" t="s">
        <v>161</v>
      </c>
      <c r="G221" s="34"/>
      <c r="H221" s="66">
        <f>_xll.GetCtData("PKAMOUNT","AMOUNT",$A$1:$A$3,$A221:$B221,H$3:H$5,"#")</f>
        <v>0</v>
      </c>
      <c r="I221" s="66">
        <f>_xll.GetCtData("PKAMOUNT","AMOUNT",$A$1:$A$3,$A221:$B221,I$3:I$5,"#")</f>
        <v>0</v>
      </c>
      <c r="J221" s="66">
        <f>_xll.GetCtData("PKAMOUNT","AMOUNT",$A$1:$A$3,$A221:$B221,J$3:J$5,"#")</f>
        <v>0</v>
      </c>
      <c r="K221" s="86">
        <f>_xll.GetCtData("PKAMOUNT","AMOUNT",$A$1:$A$3,$A221:$B221,K$3:K$5,"#")</f>
        <v>0</v>
      </c>
      <c r="L221" s="86">
        <f>_xll.GetCtData("PKAMOUNT","AMOUNT",$A$1:$A$3,$A221:$B221,L$3:L$5,"#")</f>
        <v>0</v>
      </c>
      <c r="M221" s="66">
        <f>_xll.GetCtData("PKAMOUNT","AMOUNT",$A$1:$A$3,$A221:$B221,M$3:M$5,"#")</f>
        <v>0</v>
      </c>
      <c r="N221" s="66" t="e">
        <f>IF(N$1&lt;=#REF!,_xll.GetCtData("PKAMOUNT","AMOUNT",$A$1:$A$3,$A221:$B221,N$3:N$5,"#")-SUM($M221:M221),0)</f>
        <v>#REF!</v>
      </c>
      <c r="O221" s="66" t="e">
        <f>IF(O$1&lt;=#REF!,_xll.GetCtData("PKAMOUNT","AMOUNT",$A$1:$A$3,$A221:$B221,O$3:O$5,"#")-SUM($M221:N221),0)</f>
        <v>#REF!</v>
      </c>
      <c r="P221" s="66" t="e">
        <f>IF(P$1&lt;=#REF!,_xll.GetCtData("PKAMOUNT","AMOUNT",$A$1:$A$3,$A221:$B221,P$3:P$5,"#")-SUM($M221:O221),0)</f>
        <v>#REF!</v>
      </c>
      <c r="Q221" s="66" t="e">
        <f>IF(Q$1&lt;=#REF!,_xll.GetCtData("PKAMOUNT","AMOUNT",$A$1:$A$3,$A221:$B221,Q$3:Q$5,"#")-SUM($M221:P221),0)</f>
        <v>#REF!</v>
      </c>
      <c r="R221" s="66" t="e">
        <f>IF(R$1&lt;=#REF!,_xll.GetCtData("PKAMOUNT","AMOUNT",$A$1:$A$3,$A221:$B221,R$3:R$5,"#")-SUM($M221:Q221),0)</f>
        <v>#REF!</v>
      </c>
      <c r="S221" s="66" t="e">
        <f>IF(S$1&lt;=#REF!,_xll.GetCtData("PKAMOUNT","AMOUNT",$A$1:$A$3,$A221:$B221,S$3:S$5,"#")-SUM($M221:R221),0)</f>
        <v>#REF!</v>
      </c>
      <c r="T221" s="66" t="e">
        <f>IF(T$1&lt;=#REF!,_xll.GetCtData("PKAMOUNT","AMOUNT",$A$1:$A$3,$A221:$B221,T$3:T$5,"#")-SUM($M221:S221),0)</f>
        <v>#REF!</v>
      </c>
      <c r="U221" s="66" t="e">
        <f>IF(U$1&lt;=#REF!,_xll.GetCtData("PKAMOUNT","AMOUNT",$A$1:$A$3,$A221:$B221,U$3:U$5,"#")-SUM($M221:T221),0)</f>
        <v>#REF!</v>
      </c>
      <c r="V221" s="66" t="e">
        <f>IF(V$1&lt;=#REF!,_xll.GetCtData("PKAMOUNT","AMOUNT",$A$1:$A$3,$A221:$B221,V$3:V$5,"#")-SUM($M221:U221),0)</f>
        <v>#REF!</v>
      </c>
      <c r="W221" s="66" t="e">
        <f>IF(W$1&lt;=#REF!,_xll.GetCtData("PKAMOUNT","AMOUNT",$A$1:$A$3,$A221:$B221,W$3:W$5,"#")-SUM($M221:V221),0)</f>
        <v>#REF!</v>
      </c>
      <c r="X221" s="66" t="e">
        <f>IF(X$1&lt;=#REF!,_xll.GetCtData("PKAMOUNT","AMOUNT",$A$1:$A$3,$A221:$B221,X$3:X$5,"#")-SUM($M221:W221),0)</f>
        <v>#REF!</v>
      </c>
      <c r="Y221" s="66">
        <f>_xll.GetCtData("PKAMOUNT","AMOUNT",$A$1:$A$3,$A221:$B221,Y$3:Y$5,"#")</f>
        <v>0</v>
      </c>
      <c r="Z221" s="34"/>
      <c r="AA221" s="66" t="e">
        <f>$K221*#REF!/12</f>
        <v>#REF!</v>
      </c>
      <c r="AB221" s="60" t="e">
        <f t="shared" si="149"/>
        <v>#REF!</v>
      </c>
      <c r="AC221" s="34"/>
      <c r="AD221" s="66" t="e">
        <f>$L221*#REF!/12</f>
        <v>#REF!</v>
      </c>
      <c r="AE221" s="60" t="e">
        <f t="shared" si="150"/>
        <v>#REF!</v>
      </c>
    </row>
    <row r="222" spans="1:39" ht="18" customHeight="1" collapsed="1" x14ac:dyDescent="0.2">
      <c r="A222" s="35"/>
      <c r="B222" s="35"/>
      <c r="C222" s="4" t="e">
        <f t="shared" si="152"/>
        <v>#REF!</v>
      </c>
      <c r="D222" s="4" t="e">
        <f t="shared" si="153"/>
        <v>#REF!</v>
      </c>
      <c r="F222" s="106" t="s">
        <v>378</v>
      </c>
      <c r="H222" s="61">
        <f>H219+H220+H221</f>
        <v>0</v>
      </c>
      <c r="I222" s="61">
        <f t="shared" ref="I222:Y222" si="156">I219+I220+I221</f>
        <v>0</v>
      </c>
      <c r="J222" s="61">
        <f t="shared" si="156"/>
        <v>0</v>
      </c>
      <c r="K222" s="86">
        <f t="shared" si="156"/>
        <v>0</v>
      </c>
      <c r="L222" s="86">
        <f t="shared" si="156"/>
        <v>0</v>
      </c>
      <c r="M222" s="61">
        <f t="shared" si="156"/>
        <v>0</v>
      </c>
      <c r="N222" s="61" t="e">
        <f t="shared" si="156"/>
        <v>#REF!</v>
      </c>
      <c r="O222" s="61" t="e">
        <f t="shared" si="156"/>
        <v>#REF!</v>
      </c>
      <c r="P222" s="61" t="e">
        <f t="shared" si="156"/>
        <v>#REF!</v>
      </c>
      <c r="Q222" s="61" t="e">
        <f t="shared" si="156"/>
        <v>#REF!</v>
      </c>
      <c r="R222" s="61" t="e">
        <f t="shared" si="156"/>
        <v>#REF!</v>
      </c>
      <c r="S222" s="61" t="e">
        <f t="shared" ref="S222:T222" si="157">S219+S220+S221</f>
        <v>#REF!</v>
      </c>
      <c r="T222" s="61" t="e">
        <f t="shared" si="157"/>
        <v>#REF!</v>
      </c>
      <c r="U222" s="61" t="e">
        <f t="shared" si="156"/>
        <v>#REF!</v>
      </c>
      <c r="V222" s="61" t="e">
        <f t="shared" si="156"/>
        <v>#REF!</v>
      </c>
      <c r="W222" s="61" t="e">
        <f t="shared" si="156"/>
        <v>#REF!</v>
      </c>
      <c r="X222" s="61" t="e">
        <f t="shared" si="156"/>
        <v>#REF!</v>
      </c>
      <c r="Y222" s="61">
        <f t="shared" si="156"/>
        <v>0</v>
      </c>
      <c r="AA222" s="61" t="e">
        <f>$K222*#REF!/12</f>
        <v>#REF!</v>
      </c>
      <c r="AB222" s="60" t="e">
        <f t="shared" si="149"/>
        <v>#REF!</v>
      </c>
      <c r="AD222" s="61" t="e">
        <f>$L222*#REF!/12</f>
        <v>#REF!</v>
      </c>
      <c r="AE222" s="60" t="e">
        <f t="shared" si="150"/>
        <v>#REF!</v>
      </c>
    </row>
    <row r="223" spans="1:39" ht="18" customHeight="1" x14ac:dyDescent="0.2">
      <c r="A223" s="30" t="s">
        <v>408</v>
      </c>
      <c r="B223" s="30" t="s">
        <v>22</v>
      </c>
      <c r="C223" s="4"/>
      <c r="D223" s="4"/>
      <c r="F223" s="106" t="s">
        <v>409</v>
      </c>
      <c r="H223" s="61">
        <f>_xll.GetCtData("PKAMOUNT","AMOUNT",$A$1:$A$3,$A223:$B223,H$3:H$5,"#")</f>
        <v>0</v>
      </c>
      <c r="I223" s="61">
        <f>_xll.GetCtData("PKAMOUNT","AMOUNT",$A$1:$A$3,$A223:$B223,I$3:I$5,"#")</f>
        <v>0</v>
      </c>
      <c r="J223" s="61">
        <f>_xll.GetCtData("PKAMOUNT","AMOUNT",$A$1:$A$3,$A223:$B223,J$3:J$5,"#")</f>
        <v>0</v>
      </c>
      <c r="K223" s="86">
        <f>_xll.GetCtData("PKAMOUNT","AMOUNT",$A$1:$A$3,$A223:$B223,K$3:K$5,"#")</f>
        <v>0</v>
      </c>
      <c r="L223" s="86">
        <f>_xll.GetCtData("PKAMOUNT","AMOUNT",$A$1:$A$3,$A223:$B223,L$3:L$5,"#")</f>
        <v>0</v>
      </c>
      <c r="M223" s="61">
        <f>_xll.GetCtData("PKAMOUNT","AMOUNT",$A$1:$A$3,$A223:$B223,M$3:M$5,"#")</f>
        <v>0</v>
      </c>
      <c r="N223" s="61" t="e">
        <f>IF(N$1&lt;=#REF!,_xll.GetCtData("PKAMOUNT","AMOUNT",$A$1:$A$3,$A223:$B223,N$3:N$5,"#")-SUM($M223:M223),0)</f>
        <v>#REF!</v>
      </c>
      <c r="O223" s="61" t="e">
        <f>IF(O$1&lt;=#REF!,_xll.GetCtData("PKAMOUNT","AMOUNT",$A$1:$A$3,$A223:$B223,O$3:O$5,"#")-SUM($M223:N223),0)</f>
        <v>#REF!</v>
      </c>
      <c r="P223" s="61" t="e">
        <f>IF(P$1&lt;=#REF!,_xll.GetCtData("PKAMOUNT","AMOUNT",$A$1:$A$3,$A223:$B223,P$3:P$5,"#")-SUM($M223:O223),0)</f>
        <v>#REF!</v>
      </c>
      <c r="Q223" s="61" t="e">
        <f>IF(Q$1&lt;=#REF!,_xll.GetCtData("PKAMOUNT","AMOUNT",$A$1:$A$3,$A223:$B223,Q$3:Q$5,"#")-SUM($M223:P223),0)</f>
        <v>#REF!</v>
      </c>
      <c r="R223" s="61" t="e">
        <f>IF(R$1&lt;=#REF!,_xll.GetCtData("PKAMOUNT","AMOUNT",$A$1:$A$3,$A223:$B223,R$3:R$5,"#")-SUM($M223:Q223),0)</f>
        <v>#REF!</v>
      </c>
      <c r="S223" s="61" t="e">
        <f>IF(S$1&lt;=#REF!,_xll.GetCtData("PKAMOUNT","AMOUNT",$A$1:$A$3,$A223:$B223,S$3:S$5,"#")-SUM($M223:R223),0)</f>
        <v>#REF!</v>
      </c>
      <c r="T223" s="61" t="e">
        <f>IF(T$1&lt;=#REF!,_xll.GetCtData("PKAMOUNT","AMOUNT",$A$1:$A$3,$A223:$B223,T$3:T$5,"#")-SUM($M223:S223),0)</f>
        <v>#REF!</v>
      </c>
      <c r="U223" s="61" t="e">
        <f>IF(U$1&lt;=#REF!,_xll.GetCtData("PKAMOUNT","AMOUNT",$A$1:$A$3,$A223:$B223,U$3:U$5,"#")-SUM($M223:T223),0)</f>
        <v>#REF!</v>
      </c>
      <c r="V223" s="61" t="e">
        <f>IF(V$1&lt;=#REF!,_xll.GetCtData("PKAMOUNT","AMOUNT",$A$1:$A$3,$A223:$B223,V$3:V$5,"#")-SUM($M223:U223),0)</f>
        <v>#REF!</v>
      </c>
      <c r="W223" s="61" t="e">
        <f>IF(W$1&lt;=#REF!,_xll.GetCtData("PKAMOUNT","AMOUNT",$A$1:$A$3,$A223:$B223,W$3:W$5,"#")-SUM($M223:V223),0)</f>
        <v>#REF!</v>
      </c>
      <c r="X223" s="61" t="e">
        <f>IF(X$1&lt;=#REF!,_xll.GetCtData("PKAMOUNT","AMOUNT",$A$1:$A$3,$A223:$B223,X$3:X$5,"#")-SUM($M223:W223),0)</f>
        <v>#REF!</v>
      </c>
      <c r="Y223" s="61">
        <f>_xll.GetCtData("PKAMOUNT","AMOUNT",$A$1:$A$3,$A223:$B223,Y$3:Y$5,"#")</f>
        <v>0</v>
      </c>
      <c r="AA223" s="61" t="e">
        <f>$K223*#REF!/12</f>
        <v>#REF!</v>
      </c>
      <c r="AB223" s="60" t="e">
        <f t="shared" si="149"/>
        <v>#REF!</v>
      </c>
      <c r="AD223" s="61" t="e">
        <f>$L223*#REF!/12</f>
        <v>#REF!</v>
      </c>
      <c r="AE223" s="60" t="e">
        <f t="shared" si="150"/>
        <v>#REF!</v>
      </c>
      <c r="AM223"/>
    </row>
    <row r="224" spans="1:39" ht="18" hidden="1" customHeight="1" outlineLevel="1" x14ac:dyDescent="0.2">
      <c r="A224" s="30" t="s">
        <v>148</v>
      </c>
      <c r="B224" s="30" t="s">
        <v>22</v>
      </c>
      <c r="C224" s="4" t="e">
        <f t="shared" si="152"/>
        <v>#REF!</v>
      </c>
      <c r="D224" s="4" t="e">
        <f t="shared" si="153"/>
        <v>#REF!</v>
      </c>
      <c r="F224" s="38" t="s">
        <v>149</v>
      </c>
      <c r="G224" s="34"/>
      <c r="H224" s="66">
        <f>_xll.GetCtData("PKAMOUNT","AMOUNT",$A$1:$A$3,$A224:$B224,H$3:H$5,"#")</f>
        <v>0</v>
      </c>
      <c r="I224" s="66">
        <f>_xll.GetCtData("PKAMOUNT","AMOUNT",$A$1:$A$3,$A224:$B224,I$3:I$5,"#")</f>
        <v>0</v>
      </c>
      <c r="J224" s="66">
        <f>_xll.GetCtData("PKAMOUNT","AMOUNT",$A$1:$A$3,$A224:$B224,J$3:J$5,"#")</f>
        <v>0</v>
      </c>
      <c r="K224" s="86">
        <f>_xll.GetCtData("PKAMOUNT","AMOUNT",$A$1:$A$3,$A224:$B224,K$3:K$5,"#")</f>
        <v>0</v>
      </c>
      <c r="L224" s="86">
        <f>_xll.GetCtData("PKAMOUNT","AMOUNT",$A$1:$A$3,$A224:$B224,L$3:L$5,"#")</f>
        <v>0</v>
      </c>
      <c r="M224" s="66">
        <f>_xll.GetCtData("PKAMOUNT","AMOUNT",$A$1:$A$3,$A224:$B224,M$3:M$5,"#")</f>
        <v>0</v>
      </c>
      <c r="N224" s="66" t="e">
        <f>IF(N$1&lt;=#REF!,_xll.GetCtData("PKAMOUNT","AMOUNT",$A$1:$A$3,$A224:$B224,N$3:N$5,"#")-SUM($M224:M224),0)</f>
        <v>#REF!</v>
      </c>
      <c r="O224" s="66" t="e">
        <f>IF(O$1&lt;=#REF!,_xll.GetCtData("PKAMOUNT","AMOUNT",$A$1:$A$3,$A224:$B224,O$3:O$5,"#")-SUM($M224:N224),0)</f>
        <v>#REF!</v>
      </c>
      <c r="P224" s="66" t="e">
        <f>IF(P$1&lt;=#REF!,_xll.GetCtData("PKAMOUNT","AMOUNT",$A$1:$A$3,$A224:$B224,P$3:P$5,"#")-SUM($M224:O224),0)</f>
        <v>#REF!</v>
      </c>
      <c r="Q224" s="66" t="e">
        <f>IF(Q$1&lt;=#REF!,_xll.GetCtData("PKAMOUNT","AMOUNT",$A$1:$A$3,$A224:$B224,Q$3:Q$5,"#")-SUM($M224:P224),0)</f>
        <v>#REF!</v>
      </c>
      <c r="R224" s="66" t="e">
        <f>IF(R$1&lt;=#REF!,_xll.GetCtData("PKAMOUNT","AMOUNT",$A$1:$A$3,$A224:$B224,R$3:R$5,"#")-SUM($M224:Q224),0)</f>
        <v>#REF!</v>
      </c>
      <c r="S224" s="66" t="e">
        <f>IF(S$1&lt;=#REF!,_xll.GetCtData("PKAMOUNT","AMOUNT",$A$1:$A$3,$A224:$B224,S$3:S$5,"#")-SUM($M224:R224),0)</f>
        <v>#REF!</v>
      </c>
      <c r="T224" s="66" t="e">
        <f>IF(T$1&lt;=#REF!,_xll.GetCtData("PKAMOUNT","AMOUNT",$A$1:$A$3,$A224:$B224,T$3:T$5,"#")-SUM($M224:S224),0)</f>
        <v>#REF!</v>
      </c>
      <c r="U224" s="66" t="e">
        <f>IF(U$1&lt;=#REF!,_xll.GetCtData("PKAMOUNT","AMOUNT",$A$1:$A$3,$A224:$B224,U$3:U$5,"#")-SUM($M224:T224),0)</f>
        <v>#REF!</v>
      </c>
      <c r="V224" s="66" t="e">
        <f>IF(V$1&lt;=#REF!,_xll.GetCtData("PKAMOUNT","AMOUNT",$A$1:$A$3,$A224:$B224,V$3:V$5,"#")-SUM($M224:U224),0)</f>
        <v>#REF!</v>
      </c>
      <c r="W224" s="66" t="e">
        <f>IF(W$1&lt;=#REF!,_xll.GetCtData("PKAMOUNT","AMOUNT",$A$1:$A$3,$A224:$B224,W$3:W$5,"#")-SUM($M224:V224),0)</f>
        <v>#REF!</v>
      </c>
      <c r="X224" s="66" t="e">
        <f>IF(X$1&lt;=#REF!,_xll.GetCtData("PKAMOUNT","AMOUNT",$A$1:$A$3,$A224:$B224,X$3:X$5,"#")-SUM($M224:W224),0)</f>
        <v>#REF!</v>
      </c>
      <c r="Y224" s="66">
        <f>_xll.GetCtData("PKAMOUNT","AMOUNT",$A$1:$A$3,$A224:$B224,Y$3:Y$5,"#")</f>
        <v>0</v>
      </c>
      <c r="Z224" s="34"/>
      <c r="AA224" s="66" t="e">
        <f>$K224*#REF!/12</f>
        <v>#REF!</v>
      </c>
      <c r="AB224" s="60" t="e">
        <f t="shared" si="149"/>
        <v>#REF!</v>
      </c>
      <c r="AC224" s="34"/>
      <c r="AD224" s="66" t="e">
        <f>$L224*#REF!/12</f>
        <v>#REF!</v>
      </c>
      <c r="AE224" s="60" t="e">
        <f t="shared" si="150"/>
        <v>#REF!</v>
      </c>
    </row>
    <row r="225" spans="1:31" ht="18" hidden="1" customHeight="1" outlineLevel="1" x14ac:dyDescent="0.2">
      <c r="A225" s="30" t="s">
        <v>158</v>
      </c>
      <c r="B225" s="30" t="s">
        <v>22</v>
      </c>
      <c r="C225" s="4" t="e">
        <f t="shared" si="152"/>
        <v>#REF!</v>
      </c>
      <c r="D225" s="4" t="e">
        <f t="shared" si="153"/>
        <v>#REF!</v>
      </c>
      <c r="F225" s="38" t="s">
        <v>159</v>
      </c>
      <c r="G225" s="34"/>
      <c r="H225" s="66">
        <f>_xll.GetCtData("PKAMOUNT","AMOUNT",$A$1:$A$3,$A225:$B225,H$3:H$5,"#")</f>
        <v>0</v>
      </c>
      <c r="I225" s="66">
        <f>_xll.GetCtData("PKAMOUNT","AMOUNT",$A$1:$A$3,$A225:$B225,I$3:I$5,"#")</f>
        <v>0</v>
      </c>
      <c r="J225" s="66">
        <f>_xll.GetCtData("PKAMOUNT","AMOUNT",$A$1:$A$3,$A225:$B225,J$3:J$5,"#")</f>
        <v>0</v>
      </c>
      <c r="K225" s="86">
        <f>_xll.GetCtData("PKAMOUNT","AMOUNT",$A$1:$A$3,$A225:$B225,K$3:K$5,"#")</f>
        <v>0</v>
      </c>
      <c r="L225" s="86">
        <f>_xll.GetCtData("PKAMOUNT","AMOUNT",$A$1:$A$3,$A225:$B225,L$3:L$5,"#")</f>
        <v>0</v>
      </c>
      <c r="M225" s="66">
        <f>_xll.GetCtData("PKAMOUNT","AMOUNT",$A$1:$A$3,$A225:$B225,M$3:M$5,"#")</f>
        <v>0</v>
      </c>
      <c r="N225" s="66" t="e">
        <f>IF(N$1&lt;=#REF!,_xll.GetCtData("PKAMOUNT","AMOUNT",$A$1:$A$3,$A225:$B225,N$3:N$5,"#")-SUM($M225:M225),0)</f>
        <v>#REF!</v>
      </c>
      <c r="O225" s="66" t="e">
        <f>IF(O$1&lt;=#REF!,_xll.GetCtData("PKAMOUNT","AMOUNT",$A$1:$A$3,$A225:$B225,O$3:O$5,"#")-SUM($M225:N225),0)</f>
        <v>#REF!</v>
      </c>
      <c r="P225" s="66" t="e">
        <f>IF(P$1&lt;=#REF!,_xll.GetCtData("PKAMOUNT","AMOUNT",$A$1:$A$3,$A225:$B225,P$3:P$5,"#")-SUM($M225:O225),0)</f>
        <v>#REF!</v>
      </c>
      <c r="Q225" s="66" t="e">
        <f>IF(Q$1&lt;=#REF!,_xll.GetCtData("PKAMOUNT","AMOUNT",$A$1:$A$3,$A225:$B225,Q$3:Q$5,"#")-SUM($M225:P225),0)</f>
        <v>#REF!</v>
      </c>
      <c r="R225" s="66" t="e">
        <f>IF(R$1&lt;=#REF!,_xll.GetCtData("PKAMOUNT","AMOUNT",$A$1:$A$3,$A225:$B225,R$3:R$5,"#")-SUM($M225:Q225),0)</f>
        <v>#REF!</v>
      </c>
      <c r="S225" s="66" t="e">
        <f>IF(S$1&lt;=#REF!,_xll.GetCtData("PKAMOUNT","AMOUNT",$A$1:$A$3,$A225:$B225,S$3:S$5,"#")-SUM($M225:R225),0)</f>
        <v>#REF!</v>
      </c>
      <c r="T225" s="66" t="e">
        <f>IF(T$1&lt;=#REF!,_xll.GetCtData("PKAMOUNT","AMOUNT",$A$1:$A$3,$A225:$B225,T$3:T$5,"#")-SUM($M225:S225),0)</f>
        <v>#REF!</v>
      </c>
      <c r="U225" s="66" t="e">
        <f>IF(U$1&lt;=#REF!,_xll.GetCtData("PKAMOUNT","AMOUNT",$A$1:$A$3,$A225:$B225,U$3:U$5,"#")-SUM($M225:T225),0)</f>
        <v>#REF!</v>
      </c>
      <c r="V225" s="66" t="e">
        <f>IF(V$1&lt;=#REF!,_xll.GetCtData("PKAMOUNT","AMOUNT",$A$1:$A$3,$A225:$B225,V$3:V$5,"#")-SUM($M225:U225),0)</f>
        <v>#REF!</v>
      </c>
      <c r="W225" s="66" t="e">
        <f>IF(W$1&lt;=#REF!,_xll.GetCtData("PKAMOUNT","AMOUNT",$A$1:$A$3,$A225:$B225,W$3:W$5,"#")-SUM($M225:V225),0)</f>
        <v>#REF!</v>
      </c>
      <c r="X225" s="66" t="e">
        <f>IF(X$1&lt;=#REF!,_xll.GetCtData("PKAMOUNT","AMOUNT",$A$1:$A$3,$A225:$B225,X$3:X$5,"#")-SUM($M225:W225),0)</f>
        <v>#REF!</v>
      </c>
      <c r="Y225" s="66">
        <f>_xll.GetCtData("PKAMOUNT","AMOUNT",$A$1:$A$3,$A225:$B225,Y$3:Y$5,"#")</f>
        <v>0</v>
      </c>
      <c r="Z225" s="34"/>
      <c r="AA225" s="66" t="e">
        <f>$K225*#REF!/12</f>
        <v>#REF!</v>
      </c>
      <c r="AB225" s="60" t="e">
        <f t="shared" si="149"/>
        <v>#REF!</v>
      </c>
      <c r="AC225" s="34"/>
      <c r="AD225" s="66" t="e">
        <f>$L225*#REF!/12</f>
        <v>#REF!</v>
      </c>
      <c r="AE225" s="60" t="e">
        <f t="shared" si="150"/>
        <v>#REF!</v>
      </c>
    </row>
    <row r="226" spans="1:31" ht="18" hidden="1" customHeight="1" outlineLevel="1" x14ac:dyDescent="0.2">
      <c r="A226" s="30" t="s">
        <v>152</v>
      </c>
      <c r="B226" s="30" t="s">
        <v>22</v>
      </c>
      <c r="C226" s="4" t="e">
        <f t="shared" si="152"/>
        <v>#REF!</v>
      </c>
      <c r="D226" s="4" t="e">
        <f t="shared" si="153"/>
        <v>#REF!</v>
      </c>
      <c r="F226" s="38" t="s">
        <v>153</v>
      </c>
      <c r="G226" s="34"/>
      <c r="H226" s="66">
        <f>_xll.GetCtData("PKAMOUNT","AMOUNT",$A$1:$A$3,$A226:$B226,H$3:H$5,"#")</f>
        <v>0</v>
      </c>
      <c r="I226" s="66">
        <f>_xll.GetCtData("PKAMOUNT","AMOUNT",$A$1:$A$3,$A226:$B226,I$3:I$5,"#")</f>
        <v>0</v>
      </c>
      <c r="J226" s="66">
        <f>_xll.GetCtData("PKAMOUNT","AMOUNT",$A$1:$A$3,$A226:$B226,J$3:J$5,"#")</f>
        <v>0</v>
      </c>
      <c r="K226" s="86">
        <f>_xll.GetCtData("PKAMOUNT","AMOUNT",$A$1:$A$3,$A226:$B226,K$3:K$5,"#")</f>
        <v>0</v>
      </c>
      <c r="L226" s="86">
        <f>_xll.GetCtData("PKAMOUNT","AMOUNT",$A$1:$A$3,$A226:$B226,L$3:L$5,"#")</f>
        <v>0</v>
      </c>
      <c r="M226" s="66">
        <f>_xll.GetCtData("PKAMOUNT","AMOUNT",$A$1:$A$3,$A226:$B226,M$3:M$5,"#")</f>
        <v>0</v>
      </c>
      <c r="N226" s="66" t="e">
        <f>IF(N$1&lt;=#REF!,_xll.GetCtData("PKAMOUNT","AMOUNT",$A$1:$A$3,$A226:$B226,N$3:N$5,"#")-SUM($M226:M226),0)</f>
        <v>#REF!</v>
      </c>
      <c r="O226" s="66" t="e">
        <f>IF(O$1&lt;=#REF!,_xll.GetCtData("PKAMOUNT","AMOUNT",$A$1:$A$3,$A226:$B226,O$3:O$5,"#")-SUM($M226:N226),0)</f>
        <v>#REF!</v>
      </c>
      <c r="P226" s="66" t="e">
        <f>IF(P$1&lt;=#REF!,_xll.GetCtData("PKAMOUNT","AMOUNT",$A$1:$A$3,$A226:$B226,P$3:P$5,"#")-SUM($M226:O226),0)</f>
        <v>#REF!</v>
      </c>
      <c r="Q226" s="66" t="e">
        <f>IF(Q$1&lt;=#REF!,_xll.GetCtData("PKAMOUNT","AMOUNT",$A$1:$A$3,$A226:$B226,Q$3:Q$5,"#")-SUM($M226:P226),0)</f>
        <v>#REF!</v>
      </c>
      <c r="R226" s="66" t="e">
        <f>IF(R$1&lt;=#REF!,_xll.GetCtData("PKAMOUNT","AMOUNT",$A$1:$A$3,$A226:$B226,R$3:R$5,"#")-SUM($M226:Q226),0)</f>
        <v>#REF!</v>
      </c>
      <c r="S226" s="66" t="e">
        <f>IF(S$1&lt;=#REF!,_xll.GetCtData("PKAMOUNT","AMOUNT",$A$1:$A$3,$A226:$B226,S$3:S$5,"#")-SUM($M226:R226),0)</f>
        <v>#REF!</v>
      </c>
      <c r="T226" s="66" t="e">
        <f>IF(T$1&lt;=#REF!,_xll.GetCtData("PKAMOUNT","AMOUNT",$A$1:$A$3,$A226:$B226,T$3:T$5,"#")-SUM($M226:S226),0)</f>
        <v>#REF!</v>
      </c>
      <c r="U226" s="66" t="e">
        <f>IF(U$1&lt;=#REF!,_xll.GetCtData("PKAMOUNT","AMOUNT",$A$1:$A$3,$A226:$B226,U$3:U$5,"#")-SUM($M226:T226),0)</f>
        <v>#REF!</v>
      </c>
      <c r="V226" s="66" t="e">
        <f>IF(V$1&lt;=#REF!,_xll.GetCtData("PKAMOUNT","AMOUNT",$A$1:$A$3,$A226:$B226,V$3:V$5,"#")-SUM($M226:U226),0)</f>
        <v>#REF!</v>
      </c>
      <c r="W226" s="66" t="e">
        <f>IF(W$1&lt;=#REF!,_xll.GetCtData("PKAMOUNT","AMOUNT",$A$1:$A$3,$A226:$B226,W$3:W$5,"#")-SUM($M226:V226),0)</f>
        <v>#REF!</v>
      </c>
      <c r="X226" s="66" t="e">
        <f>IF(X$1&lt;=#REF!,_xll.GetCtData("PKAMOUNT","AMOUNT",$A$1:$A$3,$A226:$B226,X$3:X$5,"#")-SUM($M226:W226),0)</f>
        <v>#REF!</v>
      </c>
      <c r="Y226" s="66">
        <f>_xll.GetCtData("PKAMOUNT","AMOUNT",$A$1:$A$3,$A226:$B226,Y$3:Y$5,"#")</f>
        <v>0</v>
      </c>
      <c r="Z226" s="34"/>
      <c r="AA226" s="66" t="e">
        <f>$K226*#REF!/12</f>
        <v>#REF!</v>
      </c>
      <c r="AB226" s="60" t="e">
        <f t="shared" si="149"/>
        <v>#REF!</v>
      </c>
      <c r="AC226" s="34"/>
      <c r="AD226" s="66" t="e">
        <f>$L226*#REF!/12</f>
        <v>#REF!</v>
      </c>
      <c r="AE226" s="60" t="e">
        <f t="shared" si="150"/>
        <v>#REF!</v>
      </c>
    </row>
    <row r="227" spans="1:31" ht="18" hidden="1" customHeight="1" outlineLevel="1" x14ac:dyDescent="0.2">
      <c r="A227" s="30" t="s">
        <v>269</v>
      </c>
      <c r="B227" s="30" t="s">
        <v>22</v>
      </c>
      <c r="C227" s="4" t="e">
        <f t="shared" si="152"/>
        <v>#REF!</v>
      </c>
      <c r="D227" s="4" t="e">
        <f t="shared" si="153"/>
        <v>#REF!</v>
      </c>
      <c r="F227" s="38" t="s">
        <v>271</v>
      </c>
      <c r="G227" s="34"/>
      <c r="H227" s="66">
        <f>_xll.GetCtData("PKAMOUNT","AMOUNT",$A$1:$A$3,$A227:$B227,H$3:H$5,"#")</f>
        <v>0</v>
      </c>
      <c r="I227" s="66">
        <f>_xll.GetCtData("PKAMOUNT","AMOUNT",$A$1:$A$3,$A227:$B227,I$3:I$5,"#")</f>
        <v>0</v>
      </c>
      <c r="J227" s="66">
        <f>_xll.GetCtData("PKAMOUNT","AMOUNT",$A$1:$A$3,$A227:$B227,J$3:J$5,"#")</f>
        <v>0</v>
      </c>
      <c r="K227" s="86">
        <f>_xll.GetCtData("PKAMOUNT","AMOUNT",$A$1:$A$3,$A227:$B227,K$3:K$5,"#")</f>
        <v>0</v>
      </c>
      <c r="L227" s="86">
        <f>_xll.GetCtData("PKAMOUNT","AMOUNT",$A$1:$A$3,$A227:$B227,L$3:L$5,"#")</f>
        <v>0</v>
      </c>
      <c r="M227" s="66">
        <f>_xll.GetCtData("PKAMOUNT","AMOUNT",$A$1:$A$3,$A227:$B227,M$3:M$5,"#")</f>
        <v>0</v>
      </c>
      <c r="N227" s="66" t="e">
        <f>IF(N$1&lt;=#REF!,_xll.GetCtData("PKAMOUNT","AMOUNT",$A$1:$A$3,$A227:$B227,N$3:N$5,"#")-SUM($M227:M227),0)</f>
        <v>#REF!</v>
      </c>
      <c r="O227" s="66" t="e">
        <f>IF(O$1&lt;=#REF!,_xll.GetCtData("PKAMOUNT","AMOUNT",$A$1:$A$3,$A227:$B227,O$3:O$5,"#")-SUM($M227:N227),0)</f>
        <v>#REF!</v>
      </c>
      <c r="P227" s="66" t="e">
        <f>IF(P$1&lt;=#REF!,_xll.GetCtData("PKAMOUNT","AMOUNT",$A$1:$A$3,$A227:$B227,P$3:P$5,"#")-SUM($M227:O227),0)</f>
        <v>#REF!</v>
      </c>
      <c r="Q227" s="66" t="e">
        <f>IF(Q$1&lt;=#REF!,_xll.GetCtData("PKAMOUNT","AMOUNT",$A$1:$A$3,$A227:$B227,Q$3:Q$5,"#")-SUM($M227:P227),0)</f>
        <v>#REF!</v>
      </c>
      <c r="R227" s="66" t="e">
        <f>IF(R$1&lt;=#REF!,_xll.GetCtData("PKAMOUNT","AMOUNT",$A$1:$A$3,$A227:$B227,R$3:R$5,"#")-SUM($M227:Q227),0)</f>
        <v>#REF!</v>
      </c>
      <c r="S227" s="66" t="e">
        <f>IF(S$1&lt;=#REF!,_xll.GetCtData("PKAMOUNT","AMOUNT",$A$1:$A$3,$A227:$B227,S$3:S$5,"#")-SUM($M227:R227),0)</f>
        <v>#REF!</v>
      </c>
      <c r="T227" s="66" t="e">
        <f>IF(T$1&lt;=#REF!,_xll.GetCtData("PKAMOUNT","AMOUNT",$A$1:$A$3,$A227:$B227,T$3:T$5,"#")-SUM($M227:S227),0)</f>
        <v>#REF!</v>
      </c>
      <c r="U227" s="66" t="e">
        <f>IF(U$1&lt;=#REF!,_xll.GetCtData("PKAMOUNT","AMOUNT",$A$1:$A$3,$A227:$B227,U$3:U$5,"#")-SUM($M227:T227),0)</f>
        <v>#REF!</v>
      </c>
      <c r="V227" s="66" t="e">
        <f>IF(V$1&lt;=#REF!,_xll.GetCtData("PKAMOUNT","AMOUNT",$A$1:$A$3,$A227:$B227,V$3:V$5,"#")-SUM($M227:U227),0)</f>
        <v>#REF!</v>
      </c>
      <c r="W227" s="66" t="e">
        <f>IF(W$1&lt;=#REF!,_xll.GetCtData("PKAMOUNT","AMOUNT",$A$1:$A$3,$A227:$B227,W$3:W$5,"#")-SUM($M227:V227),0)</f>
        <v>#REF!</v>
      </c>
      <c r="X227" s="66" t="e">
        <f>IF(X$1&lt;=#REF!,_xll.GetCtData("PKAMOUNT","AMOUNT",$A$1:$A$3,$A227:$B227,X$3:X$5,"#")-SUM($M227:W227),0)</f>
        <v>#REF!</v>
      </c>
      <c r="Y227" s="66">
        <f>_xll.GetCtData("PKAMOUNT","AMOUNT",$A$1:$A$3,$A227:$B227,Y$3:Y$5,"#")</f>
        <v>0</v>
      </c>
      <c r="Z227" s="34"/>
      <c r="AA227" s="66" t="e">
        <f>$K227*#REF!/12</f>
        <v>#REF!</v>
      </c>
      <c r="AB227" s="60" t="e">
        <f t="shared" si="149"/>
        <v>#REF!</v>
      </c>
      <c r="AC227" s="34"/>
      <c r="AD227" s="66" t="e">
        <f>$L227*#REF!/12</f>
        <v>#REF!</v>
      </c>
      <c r="AE227" s="60" t="e">
        <f t="shared" si="150"/>
        <v>#REF!</v>
      </c>
    </row>
    <row r="228" spans="1:31" ht="18" hidden="1" customHeight="1" outlineLevel="1" x14ac:dyDescent="0.2">
      <c r="A228" s="30" t="s">
        <v>270</v>
      </c>
      <c r="B228" s="30" t="s">
        <v>22</v>
      </c>
      <c r="C228" s="4" t="e">
        <f t="shared" si="152"/>
        <v>#REF!</v>
      </c>
      <c r="D228" s="4" t="e">
        <f t="shared" si="153"/>
        <v>#REF!</v>
      </c>
      <c r="F228" s="38" t="s">
        <v>272</v>
      </c>
      <c r="G228" s="34"/>
      <c r="H228" s="66">
        <f>_xll.GetCtData("PKAMOUNT","AMOUNT",$A$1:$A$3,$A228:$B228,H$3:H$5,"#")</f>
        <v>0</v>
      </c>
      <c r="I228" s="66">
        <f>_xll.GetCtData("PKAMOUNT","AMOUNT",$A$1:$A$3,$A228:$B228,I$3:I$5,"#")</f>
        <v>0</v>
      </c>
      <c r="J228" s="66">
        <f>_xll.GetCtData("PKAMOUNT","AMOUNT",$A$1:$A$3,$A228:$B228,J$3:J$5,"#")</f>
        <v>0</v>
      </c>
      <c r="K228" s="86">
        <f>_xll.GetCtData("PKAMOUNT","AMOUNT",$A$1:$A$3,$A228:$B228,K$3:K$5,"#")</f>
        <v>0</v>
      </c>
      <c r="L228" s="86">
        <f>_xll.GetCtData("PKAMOUNT","AMOUNT",$A$1:$A$3,$A228:$B228,L$3:L$5,"#")</f>
        <v>0</v>
      </c>
      <c r="M228" s="66">
        <f>_xll.GetCtData("PKAMOUNT","AMOUNT",$A$1:$A$3,$A228:$B228,M$3:M$5,"#")</f>
        <v>0</v>
      </c>
      <c r="N228" s="66" t="e">
        <f>IF(N$1&lt;=#REF!,_xll.GetCtData("PKAMOUNT","AMOUNT",$A$1:$A$3,$A228:$B228,N$3:N$5,"#")-SUM($M228:M228),0)</f>
        <v>#REF!</v>
      </c>
      <c r="O228" s="66" t="e">
        <f>IF(O$1&lt;=#REF!,_xll.GetCtData("PKAMOUNT","AMOUNT",$A$1:$A$3,$A228:$B228,O$3:O$5,"#")-SUM($M228:N228),0)</f>
        <v>#REF!</v>
      </c>
      <c r="P228" s="66" t="e">
        <f>IF(P$1&lt;=#REF!,_xll.GetCtData("PKAMOUNT","AMOUNT",$A$1:$A$3,$A228:$B228,P$3:P$5,"#")-SUM($M228:O228),0)</f>
        <v>#REF!</v>
      </c>
      <c r="Q228" s="66" t="e">
        <f>IF(Q$1&lt;=#REF!,_xll.GetCtData("PKAMOUNT","AMOUNT",$A$1:$A$3,$A228:$B228,Q$3:Q$5,"#")-SUM($M228:P228),0)</f>
        <v>#REF!</v>
      </c>
      <c r="R228" s="66" t="e">
        <f>IF(R$1&lt;=#REF!,_xll.GetCtData("PKAMOUNT","AMOUNT",$A$1:$A$3,$A228:$B228,R$3:R$5,"#")-SUM($M228:Q228),0)</f>
        <v>#REF!</v>
      </c>
      <c r="S228" s="66" t="e">
        <f>IF(S$1&lt;=#REF!,_xll.GetCtData("PKAMOUNT","AMOUNT",$A$1:$A$3,$A228:$B228,S$3:S$5,"#")-SUM($M228:R228),0)</f>
        <v>#REF!</v>
      </c>
      <c r="T228" s="66" t="e">
        <f>IF(T$1&lt;=#REF!,_xll.GetCtData("PKAMOUNT","AMOUNT",$A$1:$A$3,$A228:$B228,T$3:T$5,"#")-SUM($M228:S228),0)</f>
        <v>#REF!</v>
      </c>
      <c r="U228" s="66" t="e">
        <f>IF(U$1&lt;=#REF!,_xll.GetCtData("PKAMOUNT","AMOUNT",$A$1:$A$3,$A228:$B228,U$3:U$5,"#")-SUM($M228:T228),0)</f>
        <v>#REF!</v>
      </c>
      <c r="V228" s="66" t="e">
        <f>IF(V$1&lt;=#REF!,_xll.GetCtData("PKAMOUNT","AMOUNT",$A$1:$A$3,$A228:$B228,V$3:V$5,"#")-SUM($M228:U228),0)</f>
        <v>#REF!</v>
      </c>
      <c r="W228" s="66" t="e">
        <f>IF(W$1&lt;=#REF!,_xll.GetCtData("PKAMOUNT","AMOUNT",$A$1:$A$3,$A228:$B228,W$3:W$5,"#")-SUM($M228:V228),0)</f>
        <v>#REF!</v>
      </c>
      <c r="X228" s="66" t="e">
        <f>IF(X$1&lt;=#REF!,_xll.GetCtData("PKAMOUNT","AMOUNT",$A$1:$A$3,$A228:$B228,X$3:X$5,"#")-SUM($M228:W228),0)</f>
        <v>#REF!</v>
      </c>
      <c r="Y228" s="66">
        <f>_xll.GetCtData("PKAMOUNT","AMOUNT",$A$1:$A$3,$A228:$B228,Y$3:Y$5,"#")</f>
        <v>0</v>
      </c>
      <c r="Z228" s="34"/>
      <c r="AA228" s="66" t="e">
        <f>$K228*#REF!/12</f>
        <v>#REF!</v>
      </c>
      <c r="AB228" s="60" t="e">
        <f t="shared" si="149"/>
        <v>#REF!</v>
      </c>
      <c r="AC228" s="34"/>
      <c r="AD228" s="66" t="e">
        <f>$L228*#REF!/12</f>
        <v>#REF!</v>
      </c>
      <c r="AE228" s="60" t="e">
        <f t="shared" si="150"/>
        <v>#REF!</v>
      </c>
    </row>
    <row r="229" spans="1:31" ht="18" hidden="1" customHeight="1" outlineLevel="1" x14ac:dyDescent="0.2">
      <c r="A229" s="30" t="s">
        <v>162</v>
      </c>
      <c r="B229" s="30" t="s">
        <v>22</v>
      </c>
      <c r="C229" s="4" t="e">
        <f t="shared" si="152"/>
        <v>#REF!</v>
      </c>
      <c r="D229" s="4" t="e">
        <f t="shared" si="153"/>
        <v>#REF!</v>
      </c>
      <c r="F229" s="38" t="s">
        <v>163</v>
      </c>
      <c r="G229" s="34"/>
      <c r="H229" s="66">
        <f>_xll.GetCtData("PKAMOUNT","AMOUNT",$A$1:$A$3,$A229:$B229,H$3:H$5,"#")</f>
        <v>0</v>
      </c>
      <c r="I229" s="66">
        <f>_xll.GetCtData("PKAMOUNT","AMOUNT",$A$1:$A$3,$A229:$B229,I$3:I$5,"#")</f>
        <v>0</v>
      </c>
      <c r="J229" s="66">
        <f>_xll.GetCtData("PKAMOUNT","AMOUNT",$A$1:$A$3,$A229:$B229,J$3:J$5,"#")</f>
        <v>0</v>
      </c>
      <c r="K229" s="86">
        <f>_xll.GetCtData("PKAMOUNT","AMOUNT",$A$1:$A$3,$A229:$B229,K$3:K$5,"#")</f>
        <v>0</v>
      </c>
      <c r="L229" s="86">
        <f>_xll.GetCtData("PKAMOUNT","AMOUNT",$A$1:$A$3,$A229:$B229,L$3:L$5,"#")</f>
        <v>0</v>
      </c>
      <c r="M229" s="66">
        <f>_xll.GetCtData("PKAMOUNT","AMOUNT",$A$1:$A$3,$A229:$B229,M$3:M$5,"#")</f>
        <v>0</v>
      </c>
      <c r="N229" s="66" t="e">
        <f>IF(N$1&lt;=#REF!,_xll.GetCtData("PKAMOUNT","AMOUNT",$A$1:$A$3,$A229:$B229,N$3:N$5,"#")-SUM($M229:M229),0)</f>
        <v>#REF!</v>
      </c>
      <c r="O229" s="66" t="e">
        <f>IF(O$1&lt;=#REF!,_xll.GetCtData("PKAMOUNT","AMOUNT",$A$1:$A$3,$A229:$B229,O$3:O$5,"#")-SUM($M229:N229),0)</f>
        <v>#REF!</v>
      </c>
      <c r="P229" s="66" t="e">
        <f>IF(P$1&lt;=#REF!,_xll.GetCtData("PKAMOUNT","AMOUNT",$A$1:$A$3,$A229:$B229,P$3:P$5,"#")-SUM($M229:O229),0)</f>
        <v>#REF!</v>
      </c>
      <c r="Q229" s="66" t="e">
        <f>IF(Q$1&lt;=#REF!,_xll.GetCtData("PKAMOUNT","AMOUNT",$A$1:$A$3,$A229:$B229,Q$3:Q$5,"#")-SUM($M229:P229),0)</f>
        <v>#REF!</v>
      </c>
      <c r="R229" s="66" t="e">
        <f>IF(R$1&lt;=#REF!,_xll.GetCtData("PKAMOUNT","AMOUNT",$A$1:$A$3,$A229:$B229,R$3:R$5,"#")-SUM($M229:Q229),0)</f>
        <v>#REF!</v>
      </c>
      <c r="S229" s="66" t="e">
        <f>IF(S$1&lt;=#REF!,_xll.GetCtData("PKAMOUNT","AMOUNT",$A$1:$A$3,$A229:$B229,S$3:S$5,"#")-SUM($M229:R229),0)</f>
        <v>#REF!</v>
      </c>
      <c r="T229" s="66" t="e">
        <f>IF(T$1&lt;=#REF!,_xll.GetCtData("PKAMOUNT","AMOUNT",$A$1:$A$3,$A229:$B229,T$3:T$5,"#")-SUM($M229:S229),0)</f>
        <v>#REF!</v>
      </c>
      <c r="U229" s="66" t="e">
        <f>IF(U$1&lt;=#REF!,_xll.GetCtData("PKAMOUNT","AMOUNT",$A$1:$A$3,$A229:$B229,U$3:U$5,"#")-SUM($M229:T229),0)</f>
        <v>#REF!</v>
      </c>
      <c r="V229" s="66" t="e">
        <f>IF(V$1&lt;=#REF!,_xll.GetCtData("PKAMOUNT","AMOUNT",$A$1:$A$3,$A229:$B229,V$3:V$5,"#")-SUM($M229:U229),0)</f>
        <v>#REF!</v>
      </c>
      <c r="W229" s="66" t="e">
        <f>IF(W$1&lt;=#REF!,_xll.GetCtData("PKAMOUNT","AMOUNT",$A$1:$A$3,$A229:$B229,W$3:W$5,"#")-SUM($M229:V229),0)</f>
        <v>#REF!</v>
      </c>
      <c r="X229" s="66" t="e">
        <f>IF(X$1&lt;=#REF!,_xll.GetCtData("PKAMOUNT","AMOUNT",$A$1:$A$3,$A229:$B229,X$3:X$5,"#")-SUM($M229:W229),0)</f>
        <v>#REF!</v>
      </c>
      <c r="Y229" s="66">
        <f>_xll.GetCtData("PKAMOUNT","AMOUNT",$A$1:$A$3,$A229:$B229,Y$3:Y$5,"#")</f>
        <v>0</v>
      </c>
      <c r="Z229" s="34"/>
      <c r="AA229" s="66" t="e">
        <f>$K229*#REF!/12</f>
        <v>#REF!</v>
      </c>
      <c r="AB229" s="60" t="e">
        <f t="shared" si="149"/>
        <v>#REF!</v>
      </c>
      <c r="AC229" s="34"/>
      <c r="AD229" s="66" t="e">
        <f>$L229*#REF!/12</f>
        <v>#REF!</v>
      </c>
      <c r="AE229" s="60" t="e">
        <f t="shared" si="150"/>
        <v>#REF!</v>
      </c>
    </row>
    <row r="230" spans="1:31" ht="18" hidden="1" customHeight="1" outlineLevel="1" x14ac:dyDescent="0.2">
      <c r="A230" s="30" t="s">
        <v>164</v>
      </c>
      <c r="B230" s="30" t="s">
        <v>22</v>
      </c>
      <c r="C230" s="4" t="e">
        <f t="shared" si="152"/>
        <v>#REF!</v>
      </c>
      <c r="D230" s="4" t="e">
        <f t="shared" si="153"/>
        <v>#REF!</v>
      </c>
      <c r="F230" s="38" t="s">
        <v>165</v>
      </c>
      <c r="G230" s="34"/>
      <c r="H230" s="66">
        <f>_xll.GetCtData("PKAMOUNT","AMOUNT",$A$1:$A$3,$A230:$B230,H$3:H$5,"#")</f>
        <v>0</v>
      </c>
      <c r="I230" s="66">
        <f>_xll.GetCtData("PKAMOUNT","AMOUNT",$A$1:$A$3,$A230:$B230,I$3:I$5,"#")</f>
        <v>0</v>
      </c>
      <c r="J230" s="66">
        <f>_xll.GetCtData("PKAMOUNT","AMOUNT",$A$1:$A$3,$A230:$B230,J$3:J$5,"#")</f>
        <v>0</v>
      </c>
      <c r="K230" s="86">
        <f>_xll.GetCtData("PKAMOUNT","AMOUNT",$A$1:$A$3,$A230:$B230,K$3:K$5,"#")</f>
        <v>0</v>
      </c>
      <c r="L230" s="86">
        <f>_xll.GetCtData("PKAMOUNT","AMOUNT",$A$1:$A$3,$A230:$B230,L$3:L$5,"#")</f>
        <v>0</v>
      </c>
      <c r="M230" s="66">
        <f>_xll.GetCtData("PKAMOUNT","AMOUNT",$A$1:$A$3,$A230:$B230,M$3:M$5,"#")</f>
        <v>0</v>
      </c>
      <c r="N230" s="66" t="e">
        <f>IF(N$1&lt;=#REF!,_xll.GetCtData("PKAMOUNT","AMOUNT",$A$1:$A$3,$A230:$B230,N$3:N$5,"#")-SUM($M230:M230),0)</f>
        <v>#REF!</v>
      </c>
      <c r="O230" s="66" t="e">
        <f>IF(O$1&lt;=#REF!,_xll.GetCtData("PKAMOUNT","AMOUNT",$A$1:$A$3,$A230:$B230,O$3:O$5,"#")-SUM($M230:N230),0)</f>
        <v>#REF!</v>
      </c>
      <c r="P230" s="66" t="e">
        <f>IF(P$1&lt;=#REF!,_xll.GetCtData("PKAMOUNT","AMOUNT",$A$1:$A$3,$A230:$B230,P$3:P$5,"#")-SUM($M230:O230),0)</f>
        <v>#REF!</v>
      </c>
      <c r="Q230" s="66" t="e">
        <f>IF(Q$1&lt;=#REF!,_xll.GetCtData("PKAMOUNT","AMOUNT",$A$1:$A$3,$A230:$B230,Q$3:Q$5,"#")-SUM($M230:P230),0)</f>
        <v>#REF!</v>
      </c>
      <c r="R230" s="66" t="e">
        <f>IF(R$1&lt;=#REF!,_xll.GetCtData("PKAMOUNT","AMOUNT",$A$1:$A$3,$A230:$B230,R$3:R$5,"#")-SUM($M230:Q230),0)</f>
        <v>#REF!</v>
      </c>
      <c r="S230" s="66" t="e">
        <f>IF(S$1&lt;=#REF!,_xll.GetCtData("PKAMOUNT","AMOUNT",$A$1:$A$3,$A230:$B230,S$3:S$5,"#")-SUM($M230:R230),0)</f>
        <v>#REF!</v>
      </c>
      <c r="T230" s="66" t="e">
        <f>IF(T$1&lt;=#REF!,_xll.GetCtData("PKAMOUNT","AMOUNT",$A$1:$A$3,$A230:$B230,T$3:T$5,"#")-SUM($M230:S230),0)</f>
        <v>#REF!</v>
      </c>
      <c r="U230" s="66" t="e">
        <f>IF(U$1&lt;=#REF!,_xll.GetCtData("PKAMOUNT","AMOUNT",$A$1:$A$3,$A230:$B230,U$3:U$5,"#")-SUM($M230:T230),0)</f>
        <v>#REF!</v>
      </c>
      <c r="V230" s="66" t="e">
        <f>IF(V$1&lt;=#REF!,_xll.GetCtData("PKAMOUNT","AMOUNT",$A$1:$A$3,$A230:$B230,V$3:V$5,"#")-SUM($M230:U230),0)</f>
        <v>#REF!</v>
      </c>
      <c r="W230" s="66" t="e">
        <f>IF(W$1&lt;=#REF!,_xll.GetCtData("PKAMOUNT","AMOUNT",$A$1:$A$3,$A230:$B230,W$3:W$5,"#")-SUM($M230:V230),0)</f>
        <v>#REF!</v>
      </c>
      <c r="X230" s="66" t="e">
        <f>IF(X$1&lt;=#REF!,_xll.GetCtData("PKAMOUNT","AMOUNT",$A$1:$A$3,$A230:$B230,X$3:X$5,"#")-SUM($M230:W230),0)</f>
        <v>#REF!</v>
      </c>
      <c r="Y230" s="66">
        <f>_xll.GetCtData("PKAMOUNT","AMOUNT",$A$1:$A$3,$A230:$B230,Y$3:Y$5,"#")</f>
        <v>0</v>
      </c>
      <c r="Z230" s="34"/>
      <c r="AA230" s="66" t="e">
        <f>$K230*#REF!/12</f>
        <v>#REF!</v>
      </c>
      <c r="AB230" s="60" t="e">
        <f t="shared" si="149"/>
        <v>#REF!</v>
      </c>
      <c r="AC230" s="34"/>
      <c r="AD230" s="66" t="e">
        <f>$L230*#REF!/12</f>
        <v>#REF!</v>
      </c>
      <c r="AE230" s="60" t="e">
        <f t="shared" si="150"/>
        <v>#REF!</v>
      </c>
    </row>
    <row r="231" spans="1:31" ht="18" hidden="1" customHeight="1" outlineLevel="1" x14ac:dyDescent="0.2">
      <c r="A231" s="30" t="s">
        <v>166</v>
      </c>
      <c r="B231" s="30" t="s">
        <v>22</v>
      </c>
      <c r="C231" s="4" t="e">
        <f t="shared" si="152"/>
        <v>#REF!</v>
      </c>
      <c r="D231" s="4" t="e">
        <f t="shared" si="153"/>
        <v>#REF!</v>
      </c>
      <c r="F231" s="38" t="s">
        <v>167</v>
      </c>
      <c r="G231" s="34"/>
      <c r="H231" s="66">
        <f>_xll.GetCtData("PKAMOUNT","AMOUNT",$A$1:$A$3,$A231:$B231,H$3:H$5,"#")</f>
        <v>0</v>
      </c>
      <c r="I231" s="66">
        <f>_xll.GetCtData("PKAMOUNT","AMOUNT",$A$1:$A$3,$A231:$B231,I$3:I$5,"#")</f>
        <v>0</v>
      </c>
      <c r="J231" s="66">
        <f>_xll.GetCtData("PKAMOUNT","AMOUNT",$A$1:$A$3,$A231:$B231,J$3:J$5,"#")</f>
        <v>0</v>
      </c>
      <c r="K231" s="86">
        <f>_xll.GetCtData("PKAMOUNT","AMOUNT",$A$1:$A$3,$A231:$B231,K$3:K$5,"#")</f>
        <v>0</v>
      </c>
      <c r="L231" s="86">
        <f>_xll.GetCtData("PKAMOUNT","AMOUNT",$A$1:$A$3,$A231:$B231,L$3:L$5,"#")</f>
        <v>0</v>
      </c>
      <c r="M231" s="66">
        <f>_xll.GetCtData("PKAMOUNT","AMOUNT",$A$1:$A$3,$A231:$B231,M$3:M$5,"#")</f>
        <v>0</v>
      </c>
      <c r="N231" s="66" t="e">
        <f>IF(N$1&lt;=#REF!,_xll.GetCtData("PKAMOUNT","AMOUNT",$A$1:$A$3,$A231:$B231,N$3:N$5,"#")-SUM($M231:M231),0)</f>
        <v>#REF!</v>
      </c>
      <c r="O231" s="66" t="e">
        <f>IF(O$1&lt;=#REF!,_xll.GetCtData("PKAMOUNT","AMOUNT",$A$1:$A$3,$A231:$B231,O$3:O$5,"#")-SUM($M231:N231),0)</f>
        <v>#REF!</v>
      </c>
      <c r="P231" s="66" t="e">
        <f>IF(P$1&lt;=#REF!,_xll.GetCtData("PKAMOUNT","AMOUNT",$A$1:$A$3,$A231:$B231,P$3:P$5,"#")-SUM($M231:O231),0)</f>
        <v>#REF!</v>
      </c>
      <c r="Q231" s="66" t="e">
        <f>IF(Q$1&lt;=#REF!,_xll.GetCtData("PKAMOUNT","AMOUNT",$A$1:$A$3,$A231:$B231,Q$3:Q$5,"#")-SUM($M231:P231),0)</f>
        <v>#REF!</v>
      </c>
      <c r="R231" s="66" t="e">
        <f>IF(R$1&lt;=#REF!,_xll.GetCtData("PKAMOUNT","AMOUNT",$A$1:$A$3,$A231:$B231,R$3:R$5,"#")-SUM($M231:Q231),0)</f>
        <v>#REF!</v>
      </c>
      <c r="S231" s="66" t="e">
        <f>IF(S$1&lt;=#REF!,_xll.GetCtData("PKAMOUNT","AMOUNT",$A$1:$A$3,$A231:$B231,S$3:S$5,"#")-SUM($M231:R231),0)</f>
        <v>#REF!</v>
      </c>
      <c r="T231" s="66" t="e">
        <f>IF(T$1&lt;=#REF!,_xll.GetCtData("PKAMOUNT","AMOUNT",$A$1:$A$3,$A231:$B231,T$3:T$5,"#")-SUM($M231:S231),0)</f>
        <v>#REF!</v>
      </c>
      <c r="U231" s="66" t="e">
        <f>IF(U$1&lt;=#REF!,_xll.GetCtData("PKAMOUNT","AMOUNT",$A$1:$A$3,$A231:$B231,U$3:U$5,"#")-SUM($M231:T231),0)</f>
        <v>#REF!</v>
      </c>
      <c r="V231" s="66" t="e">
        <f>IF(V$1&lt;=#REF!,_xll.GetCtData("PKAMOUNT","AMOUNT",$A$1:$A$3,$A231:$B231,V$3:V$5,"#")-SUM($M231:U231),0)</f>
        <v>#REF!</v>
      </c>
      <c r="W231" s="66" t="e">
        <f>IF(W$1&lt;=#REF!,_xll.GetCtData("PKAMOUNT","AMOUNT",$A$1:$A$3,$A231:$B231,W$3:W$5,"#")-SUM($M231:V231),0)</f>
        <v>#REF!</v>
      </c>
      <c r="X231" s="66" t="e">
        <f>IF(X$1&lt;=#REF!,_xll.GetCtData("PKAMOUNT","AMOUNT",$A$1:$A$3,$A231:$B231,X$3:X$5,"#")-SUM($M231:W231),0)</f>
        <v>#REF!</v>
      </c>
      <c r="Y231" s="66">
        <f>_xll.GetCtData("PKAMOUNT","AMOUNT",$A$1:$A$3,$A231:$B231,Y$3:Y$5,"#")</f>
        <v>0</v>
      </c>
      <c r="Z231" s="34"/>
      <c r="AA231" s="66" t="e">
        <f>$K231*#REF!/12</f>
        <v>#REF!</v>
      </c>
      <c r="AB231" s="60" t="e">
        <f t="shared" si="149"/>
        <v>#REF!</v>
      </c>
      <c r="AC231" s="34"/>
      <c r="AD231" s="66" t="e">
        <f>$L231*#REF!/12</f>
        <v>#REF!</v>
      </c>
      <c r="AE231" s="60" t="e">
        <f t="shared" si="150"/>
        <v>#REF!</v>
      </c>
    </row>
    <row r="232" spans="1:31" ht="18" customHeight="1" collapsed="1" x14ac:dyDescent="0.2">
      <c r="A232" s="35"/>
      <c r="B232" s="35"/>
      <c r="C232" s="4" t="e">
        <f t="shared" si="152"/>
        <v>#REF!</v>
      </c>
      <c r="D232" s="4" t="e">
        <f t="shared" si="153"/>
        <v>#REF!</v>
      </c>
      <c r="F232" s="106" t="s">
        <v>189</v>
      </c>
      <c r="H232" s="61">
        <f>H224+H225+H226+H227+H228+H229+H230+H231</f>
        <v>0</v>
      </c>
      <c r="I232" s="61">
        <f t="shared" ref="I232:Y232" si="158">I224+I225+I226+I227+I228+I229+I230+I231</f>
        <v>0</v>
      </c>
      <c r="J232" s="61">
        <f t="shared" si="158"/>
        <v>0</v>
      </c>
      <c r="K232" s="86">
        <f t="shared" si="158"/>
        <v>0</v>
      </c>
      <c r="L232" s="86">
        <f t="shared" si="158"/>
        <v>0</v>
      </c>
      <c r="M232" s="61">
        <f t="shared" si="158"/>
        <v>0</v>
      </c>
      <c r="N232" s="61" t="e">
        <f t="shared" si="158"/>
        <v>#REF!</v>
      </c>
      <c r="O232" s="61" t="e">
        <f t="shared" si="158"/>
        <v>#REF!</v>
      </c>
      <c r="P232" s="61" t="e">
        <f t="shared" si="158"/>
        <v>#REF!</v>
      </c>
      <c r="Q232" s="61" t="e">
        <f t="shared" si="158"/>
        <v>#REF!</v>
      </c>
      <c r="R232" s="61" t="e">
        <f t="shared" si="158"/>
        <v>#REF!</v>
      </c>
      <c r="S232" s="61" t="e">
        <f t="shared" ref="S232:T232" si="159">S224+S225+S226+S227+S228+S229+S230+S231</f>
        <v>#REF!</v>
      </c>
      <c r="T232" s="61" t="e">
        <f t="shared" si="159"/>
        <v>#REF!</v>
      </c>
      <c r="U232" s="61" t="e">
        <f t="shared" si="158"/>
        <v>#REF!</v>
      </c>
      <c r="V232" s="61" t="e">
        <f t="shared" si="158"/>
        <v>#REF!</v>
      </c>
      <c r="W232" s="61" t="e">
        <f t="shared" si="158"/>
        <v>#REF!</v>
      </c>
      <c r="X232" s="61" t="e">
        <f t="shared" si="158"/>
        <v>#REF!</v>
      </c>
      <c r="Y232" s="61">
        <f t="shared" si="158"/>
        <v>0</v>
      </c>
      <c r="AA232" s="61" t="e">
        <f>$K232*#REF!/12</f>
        <v>#REF!</v>
      </c>
      <c r="AB232" s="60" t="e">
        <f t="shared" si="149"/>
        <v>#REF!</v>
      </c>
      <c r="AD232" s="61" t="e">
        <f>$L232*#REF!/12</f>
        <v>#REF!</v>
      </c>
      <c r="AE232" s="60" t="e">
        <f t="shared" si="150"/>
        <v>#REF!</v>
      </c>
    </row>
    <row r="233" spans="1:31" ht="18" customHeight="1" x14ac:dyDescent="0.2">
      <c r="A233" s="35"/>
      <c r="B233" s="35"/>
      <c r="C233" s="4" t="e">
        <f t="shared" si="152"/>
        <v>#REF!</v>
      </c>
      <c r="D233" s="4" t="e">
        <f t="shared" si="153"/>
        <v>#REF!</v>
      </c>
      <c r="F233" s="95" t="s">
        <v>65</v>
      </c>
      <c r="H233" s="195">
        <f t="shared" ref="H233:Y233" si="160">H212+H213+H217+H218+H222+H232+H223</f>
        <v>0</v>
      </c>
      <c r="I233" s="195">
        <f t="shared" si="160"/>
        <v>0</v>
      </c>
      <c r="J233" s="64">
        <f t="shared" si="160"/>
        <v>0</v>
      </c>
      <c r="K233" s="89">
        <f t="shared" si="160"/>
        <v>0</v>
      </c>
      <c r="L233" s="89">
        <f t="shared" si="160"/>
        <v>0</v>
      </c>
      <c r="M233" s="64">
        <f t="shared" si="160"/>
        <v>0</v>
      </c>
      <c r="N233" s="64" t="e">
        <f t="shared" si="160"/>
        <v>#REF!</v>
      </c>
      <c r="O233" s="64" t="e">
        <f t="shared" si="160"/>
        <v>#REF!</v>
      </c>
      <c r="P233" s="64" t="e">
        <f t="shared" si="160"/>
        <v>#REF!</v>
      </c>
      <c r="Q233" s="64" t="e">
        <f t="shared" si="160"/>
        <v>#REF!</v>
      </c>
      <c r="R233" s="64" t="e">
        <f t="shared" si="160"/>
        <v>#REF!</v>
      </c>
      <c r="S233" s="64" t="e">
        <f t="shared" ref="S233:T233" si="161">S212+S213+S217+S218+S222+S232+S223</f>
        <v>#REF!</v>
      </c>
      <c r="T233" s="64" t="e">
        <f t="shared" si="161"/>
        <v>#REF!</v>
      </c>
      <c r="U233" s="64" t="e">
        <f t="shared" si="160"/>
        <v>#REF!</v>
      </c>
      <c r="V233" s="64" t="e">
        <f t="shared" si="160"/>
        <v>#REF!</v>
      </c>
      <c r="W233" s="64" t="e">
        <f t="shared" si="160"/>
        <v>#REF!</v>
      </c>
      <c r="X233" s="64" t="e">
        <f t="shared" si="160"/>
        <v>#REF!</v>
      </c>
      <c r="Y233" s="64">
        <f t="shared" si="160"/>
        <v>0</v>
      </c>
      <c r="AA233" s="64" t="e">
        <f>$K233*#REF!/12</f>
        <v>#REF!</v>
      </c>
      <c r="AB233" s="60" t="e">
        <f t="shared" si="149"/>
        <v>#REF!</v>
      </c>
      <c r="AD233" s="64" t="e">
        <f>$L233*#REF!/12</f>
        <v>#REF!</v>
      </c>
      <c r="AE233" s="60" t="e">
        <f t="shared" si="150"/>
        <v>#REF!</v>
      </c>
    </row>
    <row r="234" spans="1:31" ht="12.95" customHeight="1" x14ac:dyDescent="0.2">
      <c r="A234" s="35"/>
      <c r="B234" s="35"/>
      <c r="C234" s="4"/>
      <c r="D234" s="4"/>
      <c r="F234" s="39" t="s">
        <v>223</v>
      </c>
      <c r="H234" s="56">
        <f>-H233/(H$58)</f>
        <v>0</v>
      </c>
      <c r="I234" s="56">
        <f t="shared" ref="I234:L234" si="162">-I233/(I$58)</f>
        <v>0</v>
      </c>
      <c r="J234" s="56">
        <f t="shared" si="162"/>
        <v>0</v>
      </c>
      <c r="K234" s="109" t="e">
        <f t="shared" si="162"/>
        <v>#DIV/0!</v>
      </c>
      <c r="L234" s="109" t="e">
        <f t="shared" si="162"/>
        <v>#DIV/0!</v>
      </c>
      <c r="M234" s="56" t="e">
        <f>-M233/(M$58)</f>
        <v>#DIV/0!</v>
      </c>
      <c r="N234" s="56" t="e">
        <f>IF(N$1&lt;=#REF!,-N233/(N$58),"")</f>
        <v>#REF!</v>
      </c>
      <c r="O234" s="56" t="e">
        <f>IF(O$1&lt;=#REF!,-O233/(O$58),"")</f>
        <v>#REF!</v>
      </c>
      <c r="P234" s="56" t="e">
        <f>IF(P$1&lt;=#REF!,-P233/(P$58),"")</f>
        <v>#REF!</v>
      </c>
      <c r="Q234" s="56" t="e">
        <f>IF(Q$1&lt;=#REF!,-Q233/(Q$58),"")</f>
        <v>#REF!</v>
      </c>
      <c r="R234" s="56" t="e">
        <f>IF(R$1&lt;=#REF!,-R233/(R$58),"")</f>
        <v>#REF!</v>
      </c>
      <c r="S234" s="56" t="e">
        <f>IF(S$1&lt;=#REF!,-S233/(S$58),"")</f>
        <v>#REF!</v>
      </c>
      <c r="T234" s="56" t="e">
        <f>IF(T$1&lt;=#REF!,-T233/(T$58),"")</f>
        <v>#REF!</v>
      </c>
      <c r="U234" s="56" t="e">
        <f>IF(U$1&lt;=#REF!,-U233/(U$58),"")</f>
        <v>#REF!</v>
      </c>
      <c r="V234" s="56" t="e">
        <f>IF(V$1&lt;=#REF!,-V233/(V$58),"")</f>
        <v>#REF!</v>
      </c>
      <c r="W234" s="56" t="e">
        <f>IF(W$1&lt;=#REF!,-W233/(W$58),"")</f>
        <v>#REF!</v>
      </c>
      <c r="X234" s="56" t="e">
        <f>IF(X$1&lt;=#REF!,-X233/(X$58),"")</f>
        <v>#REF!</v>
      </c>
      <c r="Y234" s="56" t="e">
        <f>-Y233/(Y$58)</f>
        <v>#DIV/0!</v>
      </c>
      <c r="AA234" s="56" t="e">
        <f>-AA233/(AA$58)</f>
        <v>#REF!</v>
      </c>
      <c r="AB234" s="57"/>
      <c r="AD234" s="56" t="e">
        <f>-AD233/(AD$58)</f>
        <v>#REF!</v>
      </c>
      <c r="AE234" s="57"/>
    </row>
    <row r="235" spans="1:31" ht="6.95" customHeight="1" x14ac:dyDescent="0.2">
      <c r="C235" s="4"/>
      <c r="D235" s="4"/>
      <c r="F235" s="96"/>
      <c r="H235" s="16"/>
      <c r="I235" s="16"/>
      <c r="J235" s="16"/>
      <c r="K235" s="85"/>
      <c r="L235" s="85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AA235" s="16"/>
      <c r="AB235" s="20"/>
      <c r="AD235" s="16"/>
      <c r="AE235" s="20"/>
    </row>
    <row r="236" spans="1:31" ht="18" hidden="1" customHeight="1" outlineLevel="1" collapsed="1" x14ac:dyDescent="0.2">
      <c r="A236" s="35"/>
      <c r="B236" s="35"/>
      <c r="C236" s="4"/>
      <c r="D236" s="4"/>
      <c r="F236" s="97" t="s">
        <v>249</v>
      </c>
      <c r="H236" s="74">
        <f>-H237/35</f>
        <v>0</v>
      </c>
      <c r="I236" s="74" t="e">
        <f>-I237/35*12/#REF!</f>
        <v>#REF!</v>
      </c>
      <c r="J236" s="74">
        <f>-J237/35</f>
        <v>0</v>
      </c>
      <c r="K236" s="112">
        <f>-K237/35</f>
        <v>0</v>
      </c>
      <c r="L236" s="112">
        <f>-L237/35</f>
        <v>0</v>
      </c>
      <c r="M236" s="74">
        <f t="shared" ref="M236:X236" si="163">-M237/35*12</f>
        <v>0</v>
      </c>
      <c r="N236" s="74" t="e">
        <f t="shared" si="163"/>
        <v>#REF!</v>
      </c>
      <c r="O236" s="74" t="e">
        <f t="shared" si="163"/>
        <v>#REF!</v>
      </c>
      <c r="P236" s="74" t="e">
        <f t="shared" si="163"/>
        <v>#REF!</v>
      </c>
      <c r="Q236" s="74" t="e">
        <f t="shared" si="163"/>
        <v>#REF!</v>
      </c>
      <c r="R236" s="74" t="e">
        <f t="shared" si="163"/>
        <v>#REF!</v>
      </c>
      <c r="S236" s="74" t="e">
        <f t="shared" si="163"/>
        <v>#REF!</v>
      </c>
      <c r="T236" s="74" t="e">
        <f t="shared" si="163"/>
        <v>#REF!</v>
      </c>
      <c r="U236" s="74" t="e">
        <f t="shared" si="163"/>
        <v>#REF!</v>
      </c>
      <c r="V236" s="74" t="e">
        <f t="shared" si="163"/>
        <v>#REF!</v>
      </c>
      <c r="W236" s="74" t="e">
        <f t="shared" si="163"/>
        <v>#REF!</v>
      </c>
      <c r="X236" s="74" t="e">
        <f t="shared" si="163"/>
        <v>#REF!</v>
      </c>
      <c r="Y236" s="74" t="e">
        <f>(-Y237/35)*12/#REF!</f>
        <v>#REF!</v>
      </c>
      <c r="AA236" s="74">
        <f>$K236</f>
        <v>0</v>
      </c>
      <c r="AB236" s="73" t="e">
        <f t="shared" ref="AB236:AB246" si="164">ROUND($Y236-AA236,2)</f>
        <v>#REF!</v>
      </c>
      <c r="AD236" s="74">
        <f>$L236</f>
        <v>0</v>
      </c>
      <c r="AE236" s="73" t="e">
        <f t="shared" ref="AE236:AE246" si="165">ROUND($Y236-AD236,2)</f>
        <v>#REF!</v>
      </c>
    </row>
    <row r="237" spans="1:31" ht="18" hidden="1" customHeight="1" outlineLevel="1" x14ac:dyDescent="0.2">
      <c r="A237" s="30" t="s">
        <v>79</v>
      </c>
      <c r="B237" s="30" t="s">
        <v>22</v>
      </c>
      <c r="C237" s="4" t="e">
        <f t="shared" ref="C237:C246" si="166">IF(AND($Y237=0,AA237=0),0,IF(AA237=0,IF($Y237&gt;=0,AB237/$Y237,-AB237/$Y237),IF(AA237&gt;=0,AB237/AA237,-AB237/AA237)))</f>
        <v>#REF!</v>
      </c>
      <c r="D237" s="4" t="e">
        <f t="shared" ref="D237:D246" si="167">IF(AND($Y237=0,AD237=0),0,IF(AD237=0,IF($Y237&gt;=0,AE237/$Y237,-AE237/$Y237),IF(AD237&gt;=0,AE237/AD237,-AE237/AD237)))</f>
        <v>#REF!</v>
      </c>
      <c r="F237" s="106" t="s">
        <v>83</v>
      </c>
      <c r="H237" s="61">
        <f>_xll.GetCtData("PKAMOUNT","AMOUNT",$A$1:$A$3,$A237:$B237,H$3:H$5,"#")</f>
        <v>0</v>
      </c>
      <c r="I237" s="61">
        <f>_xll.GetCtData("PKAMOUNT","AMOUNT",$A$1:$A$3,$A237:$B237,I$3:I$5,"#")</f>
        <v>0</v>
      </c>
      <c r="J237" s="61">
        <f>_xll.GetCtData("PKAMOUNT","AMOUNT",$A$1:$A$3,$A237:$B237,J$3:J$5,"#")</f>
        <v>0</v>
      </c>
      <c r="K237" s="86">
        <f>_xll.GetCtData("PKAMOUNT","AMOUNT",$A$1:$A$3,$A237:$B237,K$3:K$5,"#")</f>
        <v>0</v>
      </c>
      <c r="L237" s="86">
        <f>_xll.GetCtData("PKAMOUNT","AMOUNT",$A$1:$A$3,$A237:$B237,L$3:L$5,"#")</f>
        <v>0</v>
      </c>
      <c r="M237" s="61">
        <f>_xll.GetCtData("PKAMOUNT","AMOUNT",$A$1:$A$3,$A237:$B237,M$3:M$5,"#")</f>
        <v>0</v>
      </c>
      <c r="N237" s="61" t="e">
        <f>IF(N$1&lt;=#REF!,_xll.GetCtData("PKAMOUNT","AMOUNT",$A$1:$A$3,$A237:$B237,N$3:N$5,"#")-SUM($M237:M237),0)</f>
        <v>#REF!</v>
      </c>
      <c r="O237" s="61" t="e">
        <f>IF(O$1&lt;=#REF!,_xll.GetCtData("PKAMOUNT","AMOUNT",$A$1:$A$3,$A237:$B237,O$3:O$5,"#")-SUM($M237:N237),0)</f>
        <v>#REF!</v>
      </c>
      <c r="P237" s="61" t="e">
        <f>IF(P$1&lt;=#REF!,_xll.GetCtData("PKAMOUNT","AMOUNT",$A$1:$A$3,$A237:$B237,P$3:P$5,"#")-SUM($M237:O237),0)</f>
        <v>#REF!</v>
      </c>
      <c r="Q237" s="61" t="e">
        <f>IF(Q$1&lt;=#REF!,_xll.GetCtData("PKAMOUNT","AMOUNT",$A$1:$A$3,$A237:$B237,Q$3:Q$5,"#")-SUM($M237:P237),0)</f>
        <v>#REF!</v>
      </c>
      <c r="R237" s="61" t="e">
        <f>IF(R$1&lt;=#REF!,_xll.GetCtData("PKAMOUNT","AMOUNT",$A$1:$A$3,$A237:$B237,R$3:R$5,"#")-SUM($M237:Q237),0)</f>
        <v>#REF!</v>
      </c>
      <c r="S237" s="61" t="e">
        <f>IF(S$1&lt;=#REF!,_xll.GetCtData("PKAMOUNT","AMOUNT",$A$1:$A$3,$A237:$B237,S$3:S$5,"#")-SUM($M237:R237),0)</f>
        <v>#REF!</v>
      </c>
      <c r="T237" s="61" t="e">
        <f>IF(T$1&lt;=#REF!,_xll.GetCtData("PKAMOUNT","AMOUNT",$A$1:$A$3,$A237:$B237,T$3:T$5,"#")-SUM($M237:S237),0)</f>
        <v>#REF!</v>
      </c>
      <c r="U237" s="61" t="e">
        <f>IF(U$1&lt;=#REF!,_xll.GetCtData("PKAMOUNT","AMOUNT",$A$1:$A$3,$A237:$B237,U$3:U$5,"#")-SUM($M237:T237),0)</f>
        <v>#REF!</v>
      </c>
      <c r="V237" s="61" t="e">
        <f>IF(V$1&lt;=#REF!,_xll.GetCtData("PKAMOUNT","AMOUNT",$A$1:$A$3,$A237:$B237,V$3:V$5,"#")-SUM($M237:U237),0)</f>
        <v>#REF!</v>
      </c>
      <c r="W237" s="61" t="e">
        <f>IF(W$1&lt;=#REF!,_xll.GetCtData("PKAMOUNT","AMOUNT",$A$1:$A$3,$A237:$B237,W$3:W$5,"#")-SUM($M237:V237),0)</f>
        <v>#REF!</v>
      </c>
      <c r="X237" s="61" t="e">
        <f>IF(X$1&lt;=#REF!,_xll.GetCtData("PKAMOUNT","AMOUNT",$A$1:$A$3,$A237:$B237,X$3:X$5,"#")-SUM($M237:W237),0)</f>
        <v>#REF!</v>
      </c>
      <c r="Y237" s="61">
        <f>_xll.GetCtData("PKAMOUNT","AMOUNT",$A$1:$A$3,$A237:$B237,Y$3:Y$5,"#")</f>
        <v>0</v>
      </c>
      <c r="AA237" s="61" t="e">
        <f>$K237*#REF!/12</f>
        <v>#REF!</v>
      </c>
      <c r="AB237" s="60" t="e">
        <f t="shared" si="164"/>
        <v>#REF!</v>
      </c>
      <c r="AD237" s="61" t="e">
        <f>$L237*#REF!/12</f>
        <v>#REF!</v>
      </c>
      <c r="AE237" s="60" t="e">
        <f t="shared" si="165"/>
        <v>#REF!</v>
      </c>
    </row>
    <row r="238" spans="1:31" ht="18" hidden="1" customHeight="1" outlineLevel="1" x14ac:dyDescent="0.2">
      <c r="A238" s="30" t="s">
        <v>80</v>
      </c>
      <c r="B238" s="30" t="s">
        <v>22</v>
      </c>
      <c r="C238" s="4" t="e">
        <f t="shared" si="166"/>
        <v>#REF!</v>
      </c>
      <c r="D238" s="4" t="e">
        <f t="shared" si="167"/>
        <v>#REF!</v>
      </c>
      <c r="F238" s="106" t="s">
        <v>84</v>
      </c>
      <c r="H238" s="61">
        <f>_xll.GetCtData("PKAMOUNT","AMOUNT",$A$1:$A$3,$A238:$B238,H$3:H$5,"#")</f>
        <v>0</v>
      </c>
      <c r="I238" s="61">
        <f>_xll.GetCtData("PKAMOUNT","AMOUNT",$A$1:$A$3,$A238:$B238,I$3:I$5,"#")</f>
        <v>0</v>
      </c>
      <c r="J238" s="61">
        <f>_xll.GetCtData("PKAMOUNT","AMOUNT",$A$1:$A$3,$A238:$B238,J$3:J$5,"#")</f>
        <v>0</v>
      </c>
      <c r="K238" s="86">
        <f>_xll.GetCtData("PKAMOUNT","AMOUNT",$A$1:$A$3,$A238:$B238,K$3:K$5,"#")</f>
        <v>0</v>
      </c>
      <c r="L238" s="86">
        <f>_xll.GetCtData("PKAMOUNT","AMOUNT",$A$1:$A$3,$A238:$B238,L$3:L$5,"#")</f>
        <v>0</v>
      </c>
      <c r="M238" s="61">
        <f>_xll.GetCtData("PKAMOUNT","AMOUNT",$A$1:$A$3,$A238:$B238,M$3:M$5,"#")</f>
        <v>0</v>
      </c>
      <c r="N238" s="61" t="e">
        <f>IF(N$1&lt;=#REF!,_xll.GetCtData("PKAMOUNT","AMOUNT",$A$1:$A$3,$A238:$B238,N$3:N$5,"#")-SUM($M238:M238),0)</f>
        <v>#REF!</v>
      </c>
      <c r="O238" s="61" t="e">
        <f>IF(O$1&lt;=#REF!,_xll.GetCtData("PKAMOUNT","AMOUNT",$A$1:$A$3,$A238:$B238,O$3:O$5,"#")-SUM($M238:N238),0)</f>
        <v>#REF!</v>
      </c>
      <c r="P238" s="61" t="e">
        <f>IF(P$1&lt;=#REF!,_xll.GetCtData("PKAMOUNT","AMOUNT",$A$1:$A$3,$A238:$B238,P$3:P$5,"#")-SUM($M238:O238),0)</f>
        <v>#REF!</v>
      </c>
      <c r="Q238" s="61" t="e">
        <f>IF(Q$1&lt;=#REF!,_xll.GetCtData("PKAMOUNT","AMOUNT",$A$1:$A$3,$A238:$B238,Q$3:Q$5,"#")-SUM($M238:P238),0)</f>
        <v>#REF!</v>
      </c>
      <c r="R238" s="61" t="e">
        <f>IF(R$1&lt;=#REF!,_xll.GetCtData("PKAMOUNT","AMOUNT",$A$1:$A$3,$A238:$B238,R$3:R$5,"#")-SUM($M238:Q238),0)</f>
        <v>#REF!</v>
      </c>
      <c r="S238" s="61" t="e">
        <f>IF(S$1&lt;=#REF!,_xll.GetCtData("PKAMOUNT","AMOUNT",$A$1:$A$3,$A238:$B238,S$3:S$5,"#")-SUM($M238:R238),0)</f>
        <v>#REF!</v>
      </c>
      <c r="T238" s="61" t="e">
        <f>IF(T$1&lt;=#REF!,_xll.GetCtData("PKAMOUNT","AMOUNT",$A$1:$A$3,$A238:$B238,T$3:T$5,"#")-SUM($M238:S238),0)</f>
        <v>#REF!</v>
      </c>
      <c r="U238" s="61" t="e">
        <f>IF(U$1&lt;=#REF!,_xll.GetCtData("PKAMOUNT","AMOUNT",$A$1:$A$3,$A238:$B238,U$3:U$5,"#")-SUM($M238:T238),0)</f>
        <v>#REF!</v>
      </c>
      <c r="V238" s="61" t="e">
        <f>IF(V$1&lt;=#REF!,_xll.GetCtData("PKAMOUNT","AMOUNT",$A$1:$A$3,$A238:$B238,V$3:V$5,"#")-SUM($M238:U238),0)</f>
        <v>#REF!</v>
      </c>
      <c r="W238" s="61" t="e">
        <f>IF(W$1&lt;=#REF!,_xll.GetCtData("PKAMOUNT","AMOUNT",$A$1:$A$3,$A238:$B238,W$3:W$5,"#")-SUM($M238:V238),0)</f>
        <v>#REF!</v>
      </c>
      <c r="X238" s="61" t="e">
        <f>IF(X$1&lt;=#REF!,_xll.GetCtData("PKAMOUNT","AMOUNT",$A$1:$A$3,$A238:$B238,X$3:X$5,"#")-SUM($M238:W238),0)</f>
        <v>#REF!</v>
      </c>
      <c r="Y238" s="61">
        <f>_xll.GetCtData("PKAMOUNT","AMOUNT",$A$1:$A$3,$A238:$B238,Y$3:Y$5,"#")</f>
        <v>0</v>
      </c>
      <c r="AA238" s="61" t="e">
        <f>$K238*#REF!/12</f>
        <v>#REF!</v>
      </c>
      <c r="AB238" s="60" t="e">
        <f t="shared" si="164"/>
        <v>#REF!</v>
      </c>
      <c r="AD238" s="61" t="e">
        <f>$L238*#REF!/12</f>
        <v>#REF!</v>
      </c>
      <c r="AE238" s="60" t="e">
        <f t="shared" si="165"/>
        <v>#REF!</v>
      </c>
    </row>
    <row r="239" spans="1:31" ht="18" hidden="1" customHeight="1" outlineLevel="1" x14ac:dyDescent="0.2">
      <c r="A239" s="30" t="s">
        <v>81</v>
      </c>
      <c r="B239" s="30" t="s">
        <v>22</v>
      </c>
      <c r="C239" s="4" t="e">
        <f t="shared" si="166"/>
        <v>#REF!</v>
      </c>
      <c r="D239" s="4" t="e">
        <f t="shared" si="167"/>
        <v>#REF!</v>
      </c>
      <c r="F239" s="106" t="s">
        <v>85</v>
      </c>
      <c r="H239" s="61">
        <f>_xll.GetCtData("PKAMOUNT","AMOUNT",$A$1:$A$3,$A239:$B239,H$3:H$5,"#")</f>
        <v>0</v>
      </c>
      <c r="I239" s="61">
        <f>_xll.GetCtData("PKAMOUNT","AMOUNT",$A$1:$A$3,$A239:$B239,I$3:I$5,"#")</f>
        <v>0</v>
      </c>
      <c r="J239" s="61">
        <f>_xll.GetCtData("PKAMOUNT","AMOUNT",$A$1:$A$3,$A239:$B239,J$3:J$5,"#")</f>
        <v>0</v>
      </c>
      <c r="K239" s="86">
        <f>_xll.GetCtData("PKAMOUNT","AMOUNT",$A$1:$A$3,$A239:$B239,K$3:K$5,"#")</f>
        <v>0</v>
      </c>
      <c r="L239" s="86">
        <f>_xll.GetCtData("PKAMOUNT","AMOUNT",$A$1:$A$3,$A239:$B239,L$3:L$5,"#")</f>
        <v>0</v>
      </c>
      <c r="M239" s="61">
        <f>_xll.GetCtData("PKAMOUNT","AMOUNT",$A$1:$A$3,$A239:$B239,M$3:M$5,"#")</f>
        <v>0</v>
      </c>
      <c r="N239" s="61" t="e">
        <f>IF(N$1&lt;=#REF!,_xll.GetCtData("PKAMOUNT","AMOUNT",$A$1:$A$3,$A239:$B239,N$3:N$5,"#")-SUM($M239:M239),0)</f>
        <v>#REF!</v>
      </c>
      <c r="O239" s="61" t="e">
        <f>IF(O$1&lt;=#REF!,_xll.GetCtData("PKAMOUNT","AMOUNT",$A$1:$A$3,$A239:$B239,O$3:O$5,"#")-SUM($M239:N239),0)</f>
        <v>#REF!</v>
      </c>
      <c r="P239" s="61" t="e">
        <f>IF(P$1&lt;=#REF!,_xll.GetCtData("PKAMOUNT","AMOUNT",$A$1:$A$3,$A239:$B239,P$3:P$5,"#")-SUM($M239:O239),0)</f>
        <v>#REF!</v>
      </c>
      <c r="Q239" s="61" t="e">
        <f>IF(Q$1&lt;=#REF!,_xll.GetCtData("PKAMOUNT","AMOUNT",$A$1:$A$3,$A239:$B239,Q$3:Q$5,"#")-SUM($M239:P239),0)</f>
        <v>#REF!</v>
      </c>
      <c r="R239" s="61" t="e">
        <f>IF(R$1&lt;=#REF!,_xll.GetCtData("PKAMOUNT","AMOUNT",$A$1:$A$3,$A239:$B239,R$3:R$5,"#")-SUM($M239:Q239),0)</f>
        <v>#REF!</v>
      </c>
      <c r="S239" s="61" t="e">
        <f>IF(S$1&lt;=#REF!,_xll.GetCtData("PKAMOUNT","AMOUNT",$A$1:$A$3,$A239:$B239,S$3:S$5,"#")-SUM($M239:R239),0)</f>
        <v>#REF!</v>
      </c>
      <c r="T239" s="61" t="e">
        <f>IF(T$1&lt;=#REF!,_xll.GetCtData("PKAMOUNT","AMOUNT",$A$1:$A$3,$A239:$B239,T$3:T$5,"#")-SUM($M239:S239),0)</f>
        <v>#REF!</v>
      </c>
      <c r="U239" s="61" t="e">
        <f>IF(U$1&lt;=#REF!,_xll.GetCtData("PKAMOUNT","AMOUNT",$A$1:$A$3,$A239:$B239,U$3:U$5,"#")-SUM($M239:T239),0)</f>
        <v>#REF!</v>
      </c>
      <c r="V239" s="61" t="e">
        <f>IF(V$1&lt;=#REF!,_xll.GetCtData("PKAMOUNT","AMOUNT",$A$1:$A$3,$A239:$B239,V$3:V$5,"#")-SUM($M239:U239),0)</f>
        <v>#REF!</v>
      </c>
      <c r="W239" s="61" t="e">
        <f>IF(W$1&lt;=#REF!,_xll.GetCtData("PKAMOUNT","AMOUNT",$A$1:$A$3,$A239:$B239,W$3:W$5,"#")-SUM($M239:V239),0)</f>
        <v>#REF!</v>
      </c>
      <c r="X239" s="61" t="e">
        <f>IF(X$1&lt;=#REF!,_xll.GetCtData("PKAMOUNT","AMOUNT",$A$1:$A$3,$A239:$B239,X$3:X$5,"#")-SUM($M239:W239),0)</f>
        <v>#REF!</v>
      </c>
      <c r="Y239" s="61">
        <f>_xll.GetCtData("PKAMOUNT","AMOUNT",$A$1:$A$3,$A239:$B239,Y$3:Y$5,"#")</f>
        <v>0</v>
      </c>
      <c r="AA239" s="61" t="e">
        <f>$K239*#REF!/12</f>
        <v>#REF!</v>
      </c>
      <c r="AB239" s="60" t="e">
        <f t="shared" si="164"/>
        <v>#REF!</v>
      </c>
      <c r="AD239" s="61" t="e">
        <f>$L239*#REF!/12</f>
        <v>#REF!</v>
      </c>
      <c r="AE239" s="60" t="e">
        <f t="shared" si="165"/>
        <v>#REF!</v>
      </c>
    </row>
    <row r="240" spans="1:31" ht="18" hidden="1" customHeight="1" outlineLevel="1" x14ac:dyDescent="0.2">
      <c r="A240" s="30" t="s">
        <v>140</v>
      </c>
      <c r="B240" s="30" t="s">
        <v>22</v>
      </c>
      <c r="C240" s="4" t="e">
        <f t="shared" si="166"/>
        <v>#REF!</v>
      </c>
      <c r="D240" s="4" t="e">
        <f t="shared" si="167"/>
        <v>#REF!</v>
      </c>
      <c r="F240" s="106" t="s">
        <v>141</v>
      </c>
      <c r="H240" s="61">
        <f>_xll.GetCtData("PKAMOUNT","AMOUNT",$A$1:$A$3,$A240:$B240,H$3:H$5,"#")</f>
        <v>0</v>
      </c>
      <c r="I240" s="61">
        <f>_xll.GetCtData("PKAMOUNT","AMOUNT",$A$1:$A$3,$A240:$B240,I$3:I$5,"#")</f>
        <v>0</v>
      </c>
      <c r="J240" s="61">
        <f>_xll.GetCtData("PKAMOUNT","AMOUNT",$A$1:$A$3,$A240:$B240,J$3:J$5,"#")</f>
        <v>0</v>
      </c>
      <c r="K240" s="86">
        <f>_xll.GetCtData("PKAMOUNT","AMOUNT",$A$1:$A$3,$A240:$B240,K$3:K$5,"#")</f>
        <v>0</v>
      </c>
      <c r="L240" s="86">
        <f>_xll.GetCtData("PKAMOUNT","AMOUNT",$A$1:$A$3,$A240:$B240,L$3:L$5,"#")</f>
        <v>0</v>
      </c>
      <c r="M240" s="61">
        <f>_xll.GetCtData("PKAMOUNT","AMOUNT",$A$1:$A$3,$A240:$B240,M$3:M$5,"#")</f>
        <v>0</v>
      </c>
      <c r="N240" s="61" t="e">
        <f>IF(N$1&lt;=#REF!,_xll.GetCtData("PKAMOUNT","AMOUNT",$A$1:$A$3,$A240:$B240,N$3:N$5,"#")-SUM($M240:M240),0)</f>
        <v>#REF!</v>
      </c>
      <c r="O240" s="61" t="e">
        <f>IF(O$1&lt;=#REF!,_xll.GetCtData("PKAMOUNT","AMOUNT",$A$1:$A$3,$A240:$B240,O$3:O$5,"#")-SUM($M240:N240),0)</f>
        <v>#REF!</v>
      </c>
      <c r="P240" s="61" t="e">
        <f>IF(P$1&lt;=#REF!,_xll.GetCtData("PKAMOUNT","AMOUNT",$A$1:$A$3,$A240:$B240,P$3:P$5,"#")-SUM($M240:O240),0)</f>
        <v>#REF!</v>
      </c>
      <c r="Q240" s="61" t="e">
        <f>IF(Q$1&lt;=#REF!,_xll.GetCtData("PKAMOUNT","AMOUNT",$A$1:$A$3,$A240:$B240,Q$3:Q$5,"#")-SUM($M240:P240),0)</f>
        <v>#REF!</v>
      </c>
      <c r="R240" s="61" t="e">
        <f>IF(R$1&lt;=#REF!,_xll.GetCtData("PKAMOUNT","AMOUNT",$A$1:$A$3,$A240:$B240,R$3:R$5,"#")-SUM($M240:Q240),0)</f>
        <v>#REF!</v>
      </c>
      <c r="S240" s="61" t="e">
        <f>IF(S$1&lt;=#REF!,_xll.GetCtData("PKAMOUNT","AMOUNT",$A$1:$A$3,$A240:$B240,S$3:S$5,"#")-SUM($M240:R240),0)</f>
        <v>#REF!</v>
      </c>
      <c r="T240" s="61" t="e">
        <f>IF(T$1&lt;=#REF!,_xll.GetCtData("PKAMOUNT","AMOUNT",$A$1:$A$3,$A240:$B240,T$3:T$5,"#")-SUM($M240:S240),0)</f>
        <v>#REF!</v>
      </c>
      <c r="U240" s="61" t="e">
        <f>IF(U$1&lt;=#REF!,_xll.GetCtData("PKAMOUNT","AMOUNT",$A$1:$A$3,$A240:$B240,U$3:U$5,"#")-SUM($M240:T240),0)</f>
        <v>#REF!</v>
      </c>
      <c r="V240" s="61" t="e">
        <f>IF(V$1&lt;=#REF!,_xll.GetCtData("PKAMOUNT","AMOUNT",$A$1:$A$3,$A240:$B240,V$3:V$5,"#")-SUM($M240:U240),0)</f>
        <v>#REF!</v>
      </c>
      <c r="W240" s="61" t="e">
        <f>IF(W$1&lt;=#REF!,_xll.GetCtData("PKAMOUNT","AMOUNT",$A$1:$A$3,$A240:$B240,W$3:W$5,"#")-SUM($M240:V240),0)</f>
        <v>#REF!</v>
      </c>
      <c r="X240" s="61" t="e">
        <f>IF(X$1&lt;=#REF!,_xll.GetCtData("PKAMOUNT","AMOUNT",$A$1:$A$3,$A240:$B240,X$3:X$5,"#")-SUM($M240:W240),0)</f>
        <v>#REF!</v>
      </c>
      <c r="Y240" s="61">
        <f>_xll.GetCtData("PKAMOUNT","AMOUNT",$A$1:$A$3,$A240:$B240,Y$3:Y$5,"#")</f>
        <v>0</v>
      </c>
      <c r="AA240" s="61" t="e">
        <f>$K240*#REF!/12</f>
        <v>#REF!</v>
      </c>
      <c r="AB240" s="60" t="e">
        <f t="shared" si="164"/>
        <v>#REF!</v>
      </c>
      <c r="AD240" s="61" t="e">
        <f>$L240*#REF!/12</f>
        <v>#REF!</v>
      </c>
      <c r="AE240" s="60" t="e">
        <f t="shared" si="165"/>
        <v>#REF!</v>
      </c>
    </row>
    <row r="241" spans="1:31" ht="18" hidden="1" customHeight="1" outlineLevel="1" x14ac:dyDescent="0.2">
      <c r="A241" s="30" t="s">
        <v>123</v>
      </c>
      <c r="B241" s="30" t="s">
        <v>22</v>
      </c>
      <c r="C241" s="4" t="e">
        <f t="shared" si="166"/>
        <v>#REF!</v>
      </c>
      <c r="D241" s="4" t="e">
        <f t="shared" si="167"/>
        <v>#REF!</v>
      </c>
      <c r="F241" s="106" t="s">
        <v>142</v>
      </c>
      <c r="H241" s="61">
        <f>_xll.GetCtData("PKAMOUNT","AMOUNT",$A$1:$A$3,$A241:$B241,H$3:H$5,"#")</f>
        <v>0</v>
      </c>
      <c r="I241" s="61">
        <f>_xll.GetCtData("PKAMOUNT","AMOUNT",$A$1:$A$3,$A241:$B241,I$3:I$5,"#")</f>
        <v>0</v>
      </c>
      <c r="J241" s="61">
        <f>_xll.GetCtData("PKAMOUNT","AMOUNT",$A$1:$A$3,$A241:$B241,J$3:J$5,"#")</f>
        <v>0</v>
      </c>
      <c r="K241" s="86">
        <f>_xll.GetCtData("PKAMOUNT","AMOUNT",$A$1:$A$3,$A241:$B241,K$3:K$5,"#")</f>
        <v>0</v>
      </c>
      <c r="L241" s="86">
        <f>_xll.GetCtData("PKAMOUNT","AMOUNT",$A$1:$A$3,$A241:$B241,L$3:L$5,"#")</f>
        <v>0</v>
      </c>
      <c r="M241" s="61">
        <f>_xll.GetCtData("PKAMOUNT","AMOUNT",$A$1:$A$3,$A241:$B241,M$3:M$5,"#")</f>
        <v>0</v>
      </c>
      <c r="N241" s="61" t="e">
        <f>IF(N$1&lt;=#REF!,_xll.GetCtData("PKAMOUNT","AMOUNT",$A$1:$A$3,$A241:$B241,N$3:N$5,"#")-SUM($M241:M241),0)</f>
        <v>#REF!</v>
      </c>
      <c r="O241" s="61" t="e">
        <f>IF(O$1&lt;=#REF!,_xll.GetCtData("PKAMOUNT","AMOUNT",$A$1:$A$3,$A241:$B241,O$3:O$5,"#")-SUM($M241:N241),0)</f>
        <v>#REF!</v>
      </c>
      <c r="P241" s="61" t="e">
        <f>IF(P$1&lt;=#REF!,_xll.GetCtData("PKAMOUNT","AMOUNT",$A$1:$A$3,$A241:$B241,P$3:P$5,"#")-SUM($M241:O241),0)</f>
        <v>#REF!</v>
      </c>
      <c r="Q241" s="61" t="e">
        <f>IF(Q$1&lt;=#REF!,_xll.GetCtData("PKAMOUNT","AMOUNT",$A$1:$A$3,$A241:$B241,Q$3:Q$5,"#")-SUM($M241:P241),0)</f>
        <v>#REF!</v>
      </c>
      <c r="R241" s="61" t="e">
        <f>IF(R$1&lt;=#REF!,_xll.GetCtData("PKAMOUNT","AMOUNT",$A$1:$A$3,$A241:$B241,R$3:R$5,"#")-SUM($M241:Q241),0)</f>
        <v>#REF!</v>
      </c>
      <c r="S241" s="61" t="e">
        <f>IF(S$1&lt;=#REF!,_xll.GetCtData("PKAMOUNT","AMOUNT",$A$1:$A$3,$A241:$B241,S$3:S$5,"#")-SUM($M241:R241),0)</f>
        <v>#REF!</v>
      </c>
      <c r="T241" s="61" t="e">
        <f>IF(T$1&lt;=#REF!,_xll.GetCtData("PKAMOUNT","AMOUNT",$A$1:$A$3,$A241:$B241,T$3:T$5,"#")-SUM($M241:S241),0)</f>
        <v>#REF!</v>
      </c>
      <c r="U241" s="61" t="e">
        <f>IF(U$1&lt;=#REF!,_xll.GetCtData("PKAMOUNT","AMOUNT",$A$1:$A$3,$A241:$B241,U$3:U$5,"#")-SUM($M241:T241),0)</f>
        <v>#REF!</v>
      </c>
      <c r="V241" s="61" t="e">
        <f>IF(V$1&lt;=#REF!,_xll.GetCtData("PKAMOUNT","AMOUNT",$A$1:$A$3,$A241:$B241,V$3:V$5,"#")-SUM($M241:U241),0)</f>
        <v>#REF!</v>
      </c>
      <c r="W241" s="61" t="e">
        <f>IF(W$1&lt;=#REF!,_xll.GetCtData("PKAMOUNT","AMOUNT",$A$1:$A$3,$A241:$B241,W$3:W$5,"#")-SUM($M241:V241),0)</f>
        <v>#REF!</v>
      </c>
      <c r="X241" s="61" t="e">
        <f>IF(X$1&lt;=#REF!,_xll.GetCtData("PKAMOUNT","AMOUNT",$A$1:$A$3,$A241:$B241,X$3:X$5,"#")-SUM($M241:W241),0)</f>
        <v>#REF!</v>
      </c>
      <c r="Y241" s="61">
        <f>_xll.GetCtData("PKAMOUNT","AMOUNT",$A$1:$A$3,$A241:$B241,Y$3:Y$5,"#")</f>
        <v>0</v>
      </c>
      <c r="AA241" s="61" t="e">
        <f>$K241*#REF!/12</f>
        <v>#REF!</v>
      </c>
      <c r="AB241" s="60" t="e">
        <f t="shared" si="164"/>
        <v>#REF!</v>
      </c>
      <c r="AD241" s="61" t="e">
        <f>$L241*#REF!/12</f>
        <v>#REF!</v>
      </c>
      <c r="AE241" s="60" t="e">
        <f t="shared" si="165"/>
        <v>#REF!</v>
      </c>
    </row>
    <row r="242" spans="1:31" ht="18" hidden="1" customHeight="1" outlineLevel="1" x14ac:dyDescent="0.2">
      <c r="A242" s="30" t="s">
        <v>124</v>
      </c>
      <c r="B242" s="30" t="s">
        <v>22</v>
      </c>
      <c r="C242" s="4" t="e">
        <f t="shared" si="166"/>
        <v>#REF!</v>
      </c>
      <c r="D242" s="4" t="e">
        <f t="shared" si="167"/>
        <v>#REF!</v>
      </c>
      <c r="F242" s="106" t="s">
        <v>143</v>
      </c>
      <c r="H242" s="61">
        <f>_xll.GetCtData("PKAMOUNT","AMOUNT",$A$1:$A$3,$A242:$B242,H$3:H$5,"#")</f>
        <v>0</v>
      </c>
      <c r="I242" s="61">
        <f>_xll.GetCtData("PKAMOUNT","AMOUNT",$A$1:$A$3,$A242:$B242,I$3:I$5,"#")</f>
        <v>0</v>
      </c>
      <c r="J242" s="61">
        <f>_xll.GetCtData("PKAMOUNT","AMOUNT",$A$1:$A$3,$A242:$B242,J$3:J$5,"#")</f>
        <v>0</v>
      </c>
      <c r="K242" s="86">
        <f>_xll.GetCtData("PKAMOUNT","AMOUNT",$A$1:$A$3,$A242:$B242,K$3:K$5,"#")</f>
        <v>0</v>
      </c>
      <c r="L242" s="86">
        <f>_xll.GetCtData("PKAMOUNT","AMOUNT",$A$1:$A$3,$A242:$B242,L$3:L$5,"#")</f>
        <v>0</v>
      </c>
      <c r="M242" s="61">
        <f>_xll.GetCtData("PKAMOUNT","AMOUNT",$A$1:$A$3,$A242:$B242,M$3:M$5,"#")</f>
        <v>0</v>
      </c>
      <c r="N242" s="61" t="e">
        <f>IF(N$1&lt;=#REF!,_xll.GetCtData("PKAMOUNT","AMOUNT",$A$1:$A$3,$A242:$B242,N$3:N$5,"#")-SUM($M242:M242),0)</f>
        <v>#REF!</v>
      </c>
      <c r="O242" s="61" t="e">
        <f>IF(O$1&lt;=#REF!,_xll.GetCtData("PKAMOUNT","AMOUNT",$A$1:$A$3,$A242:$B242,O$3:O$5,"#")-SUM($M242:N242),0)</f>
        <v>#REF!</v>
      </c>
      <c r="P242" s="61" t="e">
        <f>IF(P$1&lt;=#REF!,_xll.GetCtData("PKAMOUNT","AMOUNT",$A$1:$A$3,$A242:$B242,P$3:P$5,"#")-SUM($M242:O242),0)</f>
        <v>#REF!</v>
      </c>
      <c r="Q242" s="61" t="e">
        <f>IF(Q$1&lt;=#REF!,_xll.GetCtData("PKAMOUNT","AMOUNT",$A$1:$A$3,$A242:$B242,Q$3:Q$5,"#")-SUM($M242:P242),0)</f>
        <v>#REF!</v>
      </c>
      <c r="R242" s="61" t="e">
        <f>IF(R$1&lt;=#REF!,_xll.GetCtData("PKAMOUNT","AMOUNT",$A$1:$A$3,$A242:$B242,R$3:R$5,"#")-SUM($M242:Q242),0)</f>
        <v>#REF!</v>
      </c>
      <c r="S242" s="61" t="e">
        <f>IF(S$1&lt;=#REF!,_xll.GetCtData("PKAMOUNT","AMOUNT",$A$1:$A$3,$A242:$B242,S$3:S$5,"#")-SUM($M242:R242),0)</f>
        <v>#REF!</v>
      </c>
      <c r="T242" s="61" t="e">
        <f>IF(T$1&lt;=#REF!,_xll.GetCtData("PKAMOUNT","AMOUNT",$A$1:$A$3,$A242:$B242,T$3:T$5,"#")-SUM($M242:S242),0)</f>
        <v>#REF!</v>
      </c>
      <c r="U242" s="61" t="e">
        <f>IF(U$1&lt;=#REF!,_xll.GetCtData("PKAMOUNT","AMOUNT",$A$1:$A$3,$A242:$B242,U$3:U$5,"#")-SUM($M242:T242),0)</f>
        <v>#REF!</v>
      </c>
      <c r="V242" s="61" t="e">
        <f>IF(V$1&lt;=#REF!,_xll.GetCtData("PKAMOUNT","AMOUNT",$A$1:$A$3,$A242:$B242,V$3:V$5,"#")-SUM($M242:U242),0)</f>
        <v>#REF!</v>
      </c>
      <c r="W242" s="61" t="e">
        <f>IF(W$1&lt;=#REF!,_xll.GetCtData("PKAMOUNT","AMOUNT",$A$1:$A$3,$A242:$B242,W$3:W$5,"#")-SUM($M242:V242),0)</f>
        <v>#REF!</v>
      </c>
      <c r="X242" s="61" t="e">
        <f>IF(X$1&lt;=#REF!,_xll.GetCtData("PKAMOUNT","AMOUNT",$A$1:$A$3,$A242:$B242,X$3:X$5,"#")-SUM($M242:W242),0)</f>
        <v>#REF!</v>
      </c>
      <c r="Y242" s="61">
        <f>_xll.GetCtData("PKAMOUNT","AMOUNT",$A$1:$A$3,$A242:$B242,Y$3:Y$5,"#")</f>
        <v>0</v>
      </c>
      <c r="AA242" s="61" t="e">
        <f>$K242*#REF!/12</f>
        <v>#REF!</v>
      </c>
      <c r="AB242" s="60" t="e">
        <f t="shared" si="164"/>
        <v>#REF!</v>
      </c>
      <c r="AD242" s="61" t="e">
        <f>$L242*#REF!/12</f>
        <v>#REF!</v>
      </c>
      <c r="AE242" s="60" t="e">
        <f t="shared" si="165"/>
        <v>#REF!</v>
      </c>
    </row>
    <row r="243" spans="1:31" ht="18" hidden="1" customHeight="1" outlineLevel="1" x14ac:dyDescent="0.2">
      <c r="A243" s="30" t="s">
        <v>204</v>
      </c>
      <c r="B243" s="30" t="s">
        <v>22</v>
      </c>
      <c r="C243" s="4" t="e">
        <f t="shared" si="166"/>
        <v>#REF!</v>
      </c>
      <c r="D243" s="4" t="e">
        <f t="shared" si="167"/>
        <v>#REF!</v>
      </c>
      <c r="F243" s="104" t="s">
        <v>139</v>
      </c>
      <c r="G243" s="36"/>
      <c r="H243" s="65">
        <f>_xll.GetCtData("PKAMOUNT","AMOUNT",$A$1:$A$3,$A243:$B243,H$3:H$5,"#")</f>
        <v>0</v>
      </c>
      <c r="I243" s="65">
        <f>_xll.GetCtData("PKAMOUNT","AMOUNT",$A$1:$A$3,$A243:$B243,I$3:I$5,"#")</f>
        <v>0</v>
      </c>
      <c r="J243" s="65">
        <f>_xll.GetCtData("PKAMOUNT","AMOUNT",$A$1:$A$3,$A243:$B243,J$3:J$5,"#")</f>
        <v>0</v>
      </c>
      <c r="K243" s="90">
        <f>_xll.GetCtData("PKAMOUNT","AMOUNT",$A$1:$A$3,$A243:$B243,K$3:K$5,"#")</f>
        <v>0</v>
      </c>
      <c r="L243" s="90">
        <f>_xll.GetCtData("PKAMOUNT","AMOUNT",$A$1:$A$3,$A243:$B243,L$3:L$5,"#")</f>
        <v>0</v>
      </c>
      <c r="M243" s="65">
        <f>_xll.GetCtData("PKAMOUNT","AMOUNT",$A$1:$A$3,$A243:$B243,M$3:M$5,"#")</f>
        <v>0</v>
      </c>
      <c r="N243" s="65" t="e">
        <f>IF(N$1&lt;=#REF!,_xll.GetCtData("PKAMOUNT","AMOUNT",$A$1:$A$3,$A243:$B243,N$3:N$5,"#")-SUM($M243:M243),0)</f>
        <v>#REF!</v>
      </c>
      <c r="O243" s="65" t="e">
        <f>IF(O$1&lt;=#REF!,_xll.GetCtData("PKAMOUNT","AMOUNT",$A$1:$A$3,$A243:$B243,O$3:O$5,"#")-SUM($M243:N243),0)</f>
        <v>#REF!</v>
      </c>
      <c r="P243" s="65" t="e">
        <f>IF(P$1&lt;=#REF!,_xll.GetCtData("PKAMOUNT","AMOUNT",$A$1:$A$3,$A243:$B243,P$3:P$5,"#")-SUM($M243:O243),0)</f>
        <v>#REF!</v>
      </c>
      <c r="Q243" s="65" t="e">
        <f>IF(Q$1&lt;=#REF!,_xll.GetCtData("PKAMOUNT","AMOUNT",$A$1:$A$3,$A243:$B243,Q$3:Q$5,"#")-SUM($M243:P243),0)</f>
        <v>#REF!</v>
      </c>
      <c r="R243" s="65" t="e">
        <f>IF(R$1&lt;=#REF!,_xll.GetCtData("PKAMOUNT","AMOUNT",$A$1:$A$3,$A243:$B243,R$3:R$5,"#")-SUM($M243:Q243),0)</f>
        <v>#REF!</v>
      </c>
      <c r="S243" s="65" t="e">
        <f>IF(S$1&lt;=#REF!,_xll.GetCtData("PKAMOUNT","AMOUNT",$A$1:$A$3,$A243:$B243,S$3:S$5,"#")-SUM($M243:R243),0)</f>
        <v>#REF!</v>
      </c>
      <c r="T243" s="65" t="e">
        <f>IF(T$1&lt;=#REF!,_xll.GetCtData("PKAMOUNT","AMOUNT",$A$1:$A$3,$A243:$B243,T$3:T$5,"#")-SUM($M243:S243),0)</f>
        <v>#REF!</v>
      </c>
      <c r="U243" s="65" t="e">
        <f>IF(U$1&lt;=#REF!,_xll.GetCtData("PKAMOUNT","AMOUNT",$A$1:$A$3,$A243:$B243,U$3:U$5,"#")-SUM($M243:T243),0)</f>
        <v>#REF!</v>
      </c>
      <c r="V243" s="65" t="e">
        <f>IF(V$1&lt;=#REF!,_xll.GetCtData("PKAMOUNT","AMOUNT",$A$1:$A$3,$A243:$B243,V$3:V$5,"#")-SUM($M243:U243),0)</f>
        <v>#REF!</v>
      </c>
      <c r="W243" s="65" t="e">
        <f>IF(W$1&lt;=#REF!,_xll.GetCtData("PKAMOUNT","AMOUNT",$A$1:$A$3,$A243:$B243,W$3:W$5,"#")-SUM($M243:V243),0)</f>
        <v>#REF!</v>
      </c>
      <c r="X243" s="65" t="e">
        <f>IF(X$1&lt;=#REF!,_xll.GetCtData("PKAMOUNT","AMOUNT",$A$1:$A$3,$A243:$B243,X$3:X$5,"#")-SUM($M243:W243),0)</f>
        <v>#REF!</v>
      </c>
      <c r="Y243" s="65">
        <f>_xll.GetCtData("PKAMOUNT","AMOUNT",$A$1:$A$3,$A243:$B243,Y$3:Y$5,"#")</f>
        <v>0</v>
      </c>
      <c r="Z243" s="36"/>
      <c r="AA243" s="65" t="e">
        <f>$K243*#REF!/12</f>
        <v>#REF!</v>
      </c>
      <c r="AB243" s="60" t="e">
        <f t="shared" si="164"/>
        <v>#REF!</v>
      </c>
      <c r="AC243" s="36"/>
      <c r="AD243" s="65" t="e">
        <f>$L243*#REF!/12</f>
        <v>#REF!</v>
      </c>
      <c r="AE243" s="60" t="e">
        <f t="shared" si="165"/>
        <v>#REF!</v>
      </c>
    </row>
    <row r="244" spans="1:31" ht="18" hidden="1" customHeight="1" outlineLevel="1" x14ac:dyDescent="0.2">
      <c r="A244" s="30" t="s">
        <v>82</v>
      </c>
      <c r="B244" s="30" t="s">
        <v>22</v>
      </c>
      <c r="C244" s="4" t="e">
        <f t="shared" si="166"/>
        <v>#REF!</v>
      </c>
      <c r="D244" s="4" t="e">
        <f t="shared" si="167"/>
        <v>#REF!</v>
      </c>
      <c r="F244" s="106" t="s">
        <v>86</v>
      </c>
      <c r="H244" s="61">
        <f>_xll.GetCtData("PKAMOUNT","AMOUNT",$A$1:$A$3,$A244:$B244,H$3:H$5,"#")</f>
        <v>0</v>
      </c>
      <c r="I244" s="61">
        <f>_xll.GetCtData("PKAMOUNT","AMOUNT",$A$1:$A$3,$A244:$B244,I$3:I$5,"#")</f>
        <v>0</v>
      </c>
      <c r="J244" s="61">
        <f>_xll.GetCtData("PKAMOUNT","AMOUNT",$A$1:$A$3,$A244:$B244,J$3:J$5,"#")</f>
        <v>0</v>
      </c>
      <c r="K244" s="86">
        <f>_xll.GetCtData("PKAMOUNT","AMOUNT",$A$1:$A$3,$A244:$B244,K$3:K$5,"#")</f>
        <v>0</v>
      </c>
      <c r="L244" s="86">
        <f>_xll.GetCtData("PKAMOUNT","AMOUNT",$A$1:$A$3,$A244:$B244,L$3:L$5,"#")</f>
        <v>0</v>
      </c>
      <c r="M244" s="61">
        <f>_xll.GetCtData("PKAMOUNT","AMOUNT",$A$1:$A$3,$A244:$B244,M$3:M$5,"#")</f>
        <v>0</v>
      </c>
      <c r="N244" s="61" t="e">
        <f>IF(N$1&lt;=#REF!,_xll.GetCtData("PKAMOUNT","AMOUNT",$A$1:$A$3,$A244:$B244,N$3:N$5,"#")-SUM($M244:M244),0)</f>
        <v>#REF!</v>
      </c>
      <c r="O244" s="61" t="e">
        <f>IF(O$1&lt;=#REF!,_xll.GetCtData("PKAMOUNT","AMOUNT",$A$1:$A$3,$A244:$B244,O$3:O$5,"#")-SUM($M244:N244),0)</f>
        <v>#REF!</v>
      </c>
      <c r="P244" s="61" t="e">
        <f>IF(P$1&lt;=#REF!,_xll.GetCtData("PKAMOUNT","AMOUNT",$A$1:$A$3,$A244:$B244,P$3:P$5,"#")-SUM($M244:O244),0)</f>
        <v>#REF!</v>
      </c>
      <c r="Q244" s="61" t="e">
        <f>IF(Q$1&lt;=#REF!,_xll.GetCtData("PKAMOUNT","AMOUNT",$A$1:$A$3,$A244:$B244,Q$3:Q$5,"#")-SUM($M244:P244),0)</f>
        <v>#REF!</v>
      </c>
      <c r="R244" s="61" t="e">
        <f>IF(R$1&lt;=#REF!,_xll.GetCtData("PKAMOUNT","AMOUNT",$A$1:$A$3,$A244:$B244,R$3:R$5,"#")-SUM($M244:Q244),0)</f>
        <v>#REF!</v>
      </c>
      <c r="S244" s="61" t="e">
        <f>IF(S$1&lt;=#REF!,_xll.GetCtData("PKAMOUNT","AMOUNT",$A$1:$A$3,$A244:$B244,S$3:S$5,"#")-SUM($M244:R244),0)</f>
        <v>#REF!</v>
      </c>
      <c r="T244" s="61" t="e">
        <f>IF(T$1&lt;=#REF!,_xll.GetCtData("PKAMOUNT","AMOUNT",$A$1:$A$3,$A244:$B244,T$3:T$5,"#")-SUM($M244:S244),0)</f>
        <v>#REF!</v>
      </c>
      <c r="U244" s="61" t="e">
        <f>IF(U$1&lt;=#REF!,_xll.GetCtData("PKAMOUNT","AMOUNT",$A$1:$A$3,$A244:$B244,U$3:U$5,"#")-SUM($M244:T244),0)</f>
        <v>#REF!</v>
      </c>
      <c r="V244" s="61" t="e">
        <f>IF(V$1&lt;=#REF!,_xll.GetCtData("PKAMOUNT","AMOUNT",$A$1:$A$3,$A244:$B244,V$3:V$5,"#")-SUM($M244:U244),0)</f>
        <v>#REF!</v>
      </c>
      <c r="W244" s="61" t="e">
        <f>IF(W$1&lt;=#REF!,_xll.GetCtData("PKAMOUNT","AMOUNT",$A$1:$A$3,$A244:$B244,W$3:W$5,"#")-SUM($M244:V244),0)</f>
        <v>#REF!</v>
      </c>
      <c r="X244" s="61" t="e">
        <f>IF(X$1&lt;=#REF!,_xll.GetCtData("PKAMOUNT","AMOUNT",$A$1:$A$3,$A244:$B244,X$3:X$5,"#")-SUM($M244:W244),0)</f>
        <v>#REF!</v>
      </c>
      <c r="Y244" s="61">
        <f>_xll.GetCtData("PKAMOUNT","AMOUNT",$A$1:$A$3,$A244:$B244,Y$3:Y$5,"#")</f>
        <v>0</v>
      </c>
      <c r="AA244" s="61" t="e">
        <f>$K244*#REF!/12</f>
        <v>#REF!</v>
      </c>
      <c r="AB244" s="60" t="e">
        <f t="shared" si="164"/>
        <v>#REF!</v>
      </c>
      <c r="AD244" s="61" t="e">
        <f>$L244*#REF!/12</f>
        <v>#REF!</v>
      </c>
      <c r="AE244" s="60" t="e">
        <f t="shared" si="165"/>
        <v>#REF!</v>
      </c>
    </row>
    <row r="245" spans="1:31" ht="18" hidden="1" customHeight="1" outlineLevel="1" x14ac:dyDescent="0.2">
      <c r="A245" s="30" t="s">
        <v>144</v>
      </c>
      <c r="B245" s="30" t="s">
        <v>22</v>
      </c>
      <c r="C245" s="4" t="e">
        <f t="shared" si="166"/>
        <v>#REF!</v>
      </c>
      <c r="D245" s="4" t="e">
        <f t="shared" si="167"/>
        <v>#REF!</v>
      </c>
      <c r="F245" s="106" t="s">
        <v>145</v>
      </c>
      <c r="H245" s="61">
        <f>_xll.GetCtData("PKAMOUNT","AMOUNT",$A$1:$A$3,$A245:$B245,H$3:H$5,"#")</f>
        <v>0</v>
      </c>
      <c r="I245" s="61">
        <f>_xll.GetCtData("PKAMOUNT","AMOUNT",$A$1:$A$3,$A245:$B245,I$3:I$5,"#")</f>
        <v>0</v>
      </c>
      <c r="J245" s="61">
        <f>_xll.GetCtData("PKAMOUNT","AMOUNT",$A$1:$A$3,$A245:$B245,J$3:J$5,"#")</f>
        <v>0</v>
      </c>
      <c r="K245" s="86">
        <f>_xll.GetCtData("PKAMOUNT","AMOUNT",$A$1:$A$3,$A245:$B245,K$3:K$5,"#")</f>
        <v>0</v>
      </c>
      <c r="L245" s="86">
        <f>_xll.GetCtData("PKAMOUNT","AMOUNT",$A$1:$A$3,$A245:$B245,L$3:L$5,"#")</f>
        <v>0</v>
      </c>
      <c r="M245" s="61">
        <f>_xll.GetCtData("PKAMOUNT","AMOUNT",$A$1:$A$3,$A245:$B245,M$3:M$5,"#")</f>
        <v>0</v>
      </c>
      <c r="N245" s="61" t="e">
        <f>IF(N$1&lt;=#REF!,_xll.GetCtData("PKAMOUNT","AMOUNT",$A$1:$A$3,$A245:$B245,N$3:N$5,"#")-SUM($M245:M245),0)</f>
        <v>#REF!</v>
      </c>
      <c r="O245" s="61" t="e">
        <f>IF(O$1&lt;=#REF!,_xll.GetCtData("PKAMOUNT","AMOUNT",$A$1:$A$3,$A245:$B245,O$3:O$5,"#")-SUM($M245:N245),0)</f>
        <v>#REF!</v>
      </c>
      <c r="P245" s="61" t="e">
        <f>IF(P$1&lt;=#REF!,_xll.GetCtData("PKAMOUNT","AMOUNT",$A$1:$A$3,$A245:$B245,P$3:P$5,"#")-SUM($M245:O245),0)</f>
        <v>#REF!</v>
      </c>
      <c r="Q245" s="61" t="e">
        <f>IF(Q$1&lt;=#REF!,_xll.GetCtData("PKAMOUNT","AMOUNT",$A$1:$A$3,$A245:$B245,Q$3:Q$5,"#")-SUM($M245:P245),0)</f>
        <v>#REF!</v>
      </c>
      <c r="R245" s="61" t="e">
        <f>IF(R$1&lt;=#REF!,_xll.GetCtData("PKAMOUNT","AMOUNT",$A$1:$A$3,$A245:$B245,R$3:R$5,"#")-SUM($M245:Q245),0)</f>
        <v>#REF!</v>
      </c>
      <c r="S245" s="61" t="e">
        <f>IF(S$1&lt;=#REF!,_xll.GetCtData("PKAMOUNT","AMOUNT",$A$1:$A$3,$A245:$B245,S$3:S$5,"#")-SUM($M245:R245),0)</f>
        <v>#REF!</v>
      </c>
      <c r="T245" s="61" t="e">
        <f>IF(T$1&lt;=#REF!,_xll.GetCtData("PKAMOUNT","AMOUNT",$A$1:$A$3,$A245:$B245,T$3:T$5,"#")-SUM($M245:S245),0)</f>
        <v>#REF!</v>
      </c>
      <c r="U245" s="61" t="e">
        <f>IF(U$1&lt;=#REF!,_xll.GetCtData("PKAMOUNT","AMOUNT",$A$1:$A$3,$A245:$B245,U$3:U$5,"#")-SUM($M245:T245),0)</f>
        <v>#REF!</v>
      </c>
      <c r="V245" s="61" t="e">
        <f>IF(V$1&lt;=#REF!,_xll.GetCtData("PKAMOUNT","AMOUNT",$A$1:$A$3,$A245:$B245,V$3:V$5,"#")-SUM($M245:U245),0)</f>
        <v>#REF!</v>
      </c>
      <c r="W245" s="61" t="e">
        <f>IF(W$1&lt;=#REF!,_xll.GetCtData("PKAMOUNT","AMOUNT",$A$1:$A$3,$A245:$B245,W$3:W$5,"#")-SUM($M245:V245),0)</f>
        <v>#REF!</v>
      </c>
      <c r="X245" s="61" t="e">
        <f>IF(X$1&lt;=#REF!,_xll.GetCtData("PKAMOUNT","AMOUNT",$A$1:$A$3,$A245:$B245,X$3:X$5,"#")-SUM($M245:W245),0)</f>
        <v>#REF!</v>
      </c>
      <c r="Y245" s="61">
        <f>_xll.GetCtData("PKAMOUNT","AMOUNT",$A$1:$A$3,$A245:$B245,Y$3:Y$5,"#")</f>
        <v>0</v>
      </c>
      <c r="AA245" s="61" t="e">
        <f>$K245*#REF!/12</f>
        <v>#REF!</v>
      </c>
      <c r="AB245" s="60" t="e">
        <f t="shared" si="164"/>
        <v>#REF!</v>
      </c>
      <c r="AD245" s="61" t="e">
        <f>$L245*#REF!/12</f>
        <v>#REF!</v>
      </c>
      <c r="AE245" s="60" t="e">
        <f t="shared" si="165"/>
        <v>#REF!</v>
      </c>
    </row>
    <row r="246" spans="1:31" ht="18" customHeight="1" collapsed="1" x14ac:dyDescent="0.2">
      <c r="A246" s="35"/>
      <c r="B246" s="35"/>
      <c r="C246" s="4" t="e">
        <f t="shared" si="166"/>
        <v>#REF!</v>
      </c>
      <c r="D246" s="4" t="e">
        <f t="shared" si="167"/>
        <v>#REF!</v>
      </c>
      <c r="F246" s="95" t="s">
        <v>276</v>
      </c>
      <c r="H246" s="64">
        <f>H237+H238+H239+H240+H241+H242+H243+H244+H245</f>
        <v>0</v>
      </c>
      <c r="I246" s="64">
        <f t="shared" ref="I246:Y246" si="168">I237+I238+I239+I240+I241+I242+I243+I244+I245</f>
        <v>0</v>
      </c>
      <c r="J246" s="64">
        <f t="shared" si="168"/>
        <v>0</v>
      </c>
      <c r="K246" s="89">
        <f t="shared" si="168"/>
        <v>0</v>
      </c>
      <c r="L246" s="89">
        <f t="shared" si="168"/>
        <v>0</v>
      </c>
      <c r="M246" s="64">
        <f t="shared" si="168"/>
        <v>0</v>
      </c>
      <c r="N246" s="64" t="e">
        <f t="shared" si="168"/>
        <v>#REF!</v>
      </c>
      <c r="O246" s="64" t="e">
        <f t="shared" si="168"/>
        <v>#REF!</v>
      </c>
      <c r="P246" s="64" t="e">
        <f t="shared" si="168"/>
        <v>#REF!</v>
      </c>
      <c r="Q246" s="64" t="e">
        <f t="shared" si="168"/>
        <v>#REF!</v>
      </c>
      <c r="R246" s="64" t="e">
        <f t="shared" si="168"/>
        <v>#REF!</v>
      </c>
      <c r="S246" s="64" t="e">
        <f t="shared" ref="S246:T246" si="169">S237+S238+S239+S240+S241+S242+S243+S244+S245</f>
        <v>#REF!</v>
      </c>
      <c r="T246" s="64" t="e">
        <f t="shared" si="169"/>
        <v>#REF!</v>
      </c>
      <c r="U246" s="64" t="e">
        <f t="shared" si="168"/>
        <v>#REF!</v>
      </c>
      <c r="V246" s="64" t="e">
        <f t="shared" si="168"/>
        <v>#REF!</v>
      </c>
      <c r="W246" s="64" t="e">
        <f t="shared" si="168"/>
        <v>#REF!</v>
      </c>
      <c r="X246" s="64" t="e">
        <f t="shared" si="168"/>
        <v>#REF!</v>
      </c>
      <c r="Y246" s="64">
        <f t="shared" si="168"/>
        <v>0</v>
      </c>
      <c r="AA246" s="64" t="e">
        <f>$K246*#REF!/12</f>
        <v>#REF!</v>
      </c>
      <c r="AB246" s="60" t="e">
        <f t="shared" si="164"/>
        <v>#REF!</v>
      </c>
      <c r="AD246" s="64" t="e">
        <f>$L246*#REF!/12</f>
        <v>#REF!</v>
      </c>
      <c r="AE246" s="60" t="e">
        <f t="shared" si="165"/>
        <v>#REF!</v>
      </c>
    </row>
    <row r="247" spans="1:31" ht="12.95" customHeight="1" x14ac:dyDescent="0.2">
      <c r="A247" s="35"/>
      <c r="B247" s="35"/>
      <c r="C247" s="4"/>
      <c r="D247" s="4"/>
      <c r="F247" s="39" t="s">
        <v>223</v>
      </c>
      <c r="H247" s="56">
        <f>-H246/(H$58)</f>
        <v>0</v>
      </c>
      <c r="I247" s="56">
        <f t="shared" ref="I247:L247" si="170">-I246/(I$58)</f>
        <v>0</v>
      </c>
      <c r="J247" s="56">
        <f t="shared" si="170"/>
        <v>0</v>
      </c>
      <c r="K247" s="109" t="e">
        <f t="shared" si="170"/>
        <v>#DIV/0!</v>
      </c>
      <c r="L247" s="109" t="e">
        <f t="shared" si="170"/>
        <v>#DIV/0!</v>
      </c>
      <c r="M247" s="56" t="e">
        <f>-M246/(M$58)</f>
        <v>#DIV/0!</v>
      </c>
      <c r="N247" s="56" t="e">
        <f>IF(N$1&lt;=#REF!,-N246/(N$58),"")</f>
        <v>#REF!</v>
      </c>
      <c r="O247" s="56" t="e">
        <f>IF(O$1&lt;=#REF!,-O246/(O$58),"")</f>
        <v>#REF!</v>
      </c>
      <c r="P247" s="56" t="e">
        <f>IF(P$1&lt;=#REF!,-P246/(P$58),"")</f>
        <v>#REF!</v>
      </c>
      <c r="Q247" s="56" t="e">
        <f>IF(Q$1&lt;=#REF!,-Q246/(Q$58),"")</f>
        <v>#REF!</v>
      </c>
      <c r="R247" s="56" t="e">
        <f>IF(R$1&lt;=#REF!,-R246/(R$58),"")</f>
        <v>#REF!</v>
      </c>
      <c r="S247" s="56" t="e">
        <f>IF(S$1&lt;=#REF!,-S246/(S$58),"")</f>
        <v>#REF!</v>
      </c>
      <c r="T247" s="56" t="e">
        <f>IF(T$1&lt;=#REF!,-T246/(T$58),"")</f>
        <v>#REF!</v>
      </c>
      <c r="U247" s="56" t="e">
        <f>IF(U$1&lt;=#REF!,-U246/(U$58),"")</f>
        <v>#REF!</v>
      </c>
      <c r="V247" s="56" t="e">
        <f>IF(V$1&lt;=#REF!,-V246/(V$58),"")</f>
        <v>#REF!</v>
      </c>
      <c r="W247" s="56" t="e">
        <f>IF(W$1&lt;=#REF!,-W246/(W$58),"")</f>
        <v>#REF!</v>
      </c>
      <c r="X247" s="56" t="e">
        <f>IF(X$1&lt;=#REF!,-X246/(X$58),"")</f>
        <v>#REF!</v>
      </c>
      <c r="Y247" s="56" t="e">
        <f>-Y246/(Y$58)</f>
        <v>#DIV/0!</v>
      </c>
      <c r="AA247" s="56" t="e">
        <f>-AA246/(AA$58)</f>
        <v>#REF!</v>
      </c>
      <c r="AB247" s="57"/>
      <c r="AD247" s="56" t="e">
        <f>-AD246/(AD$58)</f>
        <v>#REF!</v>
      </c>
      <c r="AE247" s="57"/>
    </row>
    <row r="248" spans="1:31" ht="6.95" customHeight="1" x14ac:dyDescent="0.2">
      <c r="C248" s="4"/>
      <c r="D248" s="4"/>
      <c r="F248" s="96"/>
      <c r="H248" s="53"/>
      <c r="I248" s="53"/>
      <c r="J248" s="53"/>
      <c r="K248" s="115"/>
      <c r="L248" s="115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AA248" s="53"/>
      <c r="AD248" s="53"/>
    </row>
    <row r="249" spans="1:31" ht="18" customHeight="1" x14ac:dyDescent="0.2">
      <c r="A249" s="30" t="s">
        <v>73</v>
      </c>
      <c r="B249" s="30" t="s">
        <v>22</v>
      </c>
      <c r="C249" s="4" t="e">
        <f t="shared" ref="C249:C279" si="171">IF(AND($Y249=0,AA249=0),0,IF(AA249=0,IF($Y249&gt;=0,AB249/$Y249,-AB249/$Y249),IF(AA249&gt;=0,AB249/AA249,-AB249/AA249)))</f>
        <v>#REF!</v>
      </c>
      <c r="D249" s="4" t="e">
        <f t="shared" ref="D249:D279" si="172">IF(AND($Y249=0,AD249=0),0,IF(AD249=0,IF($Y249&gt;=0,AE249/$Y249,-AE249/$Y249),IF(AD249&gt;=0,AE249/AD249,-AE249/AD249)))</f>
        <v>#REF!</v>
      </c>
      <c r="F249" s="106" t="s">
        <v>72</v>
      </c>
      <c r="H249" s="61">
        <f>_xll.GetCtData("PKAMOUNT","AMOUNT",$A$1:$A$3,$A249:$B249,H$3:H$5,"#")</f>
        <v>0</v>
      </c>
      <c r="I249" s="61">
        <f>_xll.GetCtData("PKAMOUNT","AMOUNT",$A$1:$A$3,$A249:$B249,I$3:I$5,"#")</f>
        <v>0</v>
      </c>
      <c r="J249" s="61">
        <f>_xll.GetCtData("PKAMOUNT","AMOUNT",$A$1:$A$3,$A249:$B249,J$3:J$5,"#")</f>
        <v>0</v>
      </c>
      <c r="K249" s="86">
        <f>_xll.GetCtData("PKAMOUNT","AMOUNT",$A$1:$A$3,$A249:$B249,K$3:K$5,"#")</f>
        <v>0</v>
      </c>
      <c r="L249" s="86">
        <f>_xll.GetCtData("PKAMOUNT","AMOUNT",$A$1:$A$3,$A249:$B249,L$3:L$5,"#")</f>
        <v>0</v>
      </c>
      <c r="M249" s="61">
        <f>_xll.GetCtData("PKAMOUNT","AMOUNT",$A$1:$A$3,$A249:$B249,M$3:M$5,"#")</f>
        <v>0</v>
      </c>
      <c r="N249" s="61" t="e">
        <f>IF(N$1&lt;=#REF!,_xll.GetCtData("PKAMOUNT","AMOUNT",$A$1:$A$3,$A249:$B249,N$3:N$5,"#")-SUM($M249:M249),0)</f>
        <v>#REF!</v>
      </c>
      <c r="O249" s="61" t="e">
        <f>IF(O$1&lt;=#REF!,_xll.GetCtData("PKAMOUNT","AMOUNT",$A$1:$A$3,$A249:$B249,O$3:O$5,"#")-SUM($M249:N249),0)</f>
        <v>#REF!</v>
      </c>
      <c r="P249" s="61" t="e">
        <f>IF(P$1&lt;=#REF!,_xll.GetCtData("PKAMOUNT","AMOUNT",$A$1:$A$3,$A249:$B249,P$3:P$5,"#")-SUM($M249:O249),0)</f>
        <v>#REF!</v>
      </c>
      <c r="Q249" s="61" t="e">
        <f>IF(Q$1&lt;=#REF!,_xll.GetCtData("PKAMOUNT","AMOUNT",$A$1:$A$3,$A249:$B249,Q$3:Q$5,"#")-SUM($M249:P249),0)</f>
        <v>#REF!</v>
      </c>
      <c r="R249" s="61" t="e">
        <f>IF(R$1&lt;=#REF!,_xll.GetCtData("PKAMOUNT","AMOUNT",$A$1:$A$3,$A249:$B249,R$3:R$5,"#")-SUM($M249:Q249),0)</f>
        <v>#REF!</v>
      </c>
      <c r="S249" s="61" t="e">
        <f>IF(S$1&lt;=#REF!,_xll.GetCtData("PKAMOUNT","AMOUNT",$A$1:$A$3,$A249:$B249,S$3:S$5,"#")-SUM($M249:R249),0)</f>
        <v>#REF!</v>
      </c>
      <c r="T249" s="61" t="e">
        <f>IF(T$1&lt;=#REF!,_xll.GetCtData("PKAMOUNT","AMOUNT",$A$1:$A$3,$A249:$B249,T$3:T$5,"#")-SUM($M249:S249),0)</f>
        <v>#REF!</v>
      </c>
      <c r="U249" s="61" t="e">
        <f>IF(U$1&lt;=#REF!,_xll.GetCtData("PKAMOUNT","AMOUNT",$A$1:$A$3,$A249:$B249,U$3:U$5,"#")-SUM($M249:T249),0)</f>
        <v>#REF!</v>
      </c>
      <c r="V249" s="61" t="e">
        <f>IF(V$1&lt;=#REF!,_xll.GetCtData("PKAMOUNT","AMOUNT",$A$1:$A$3,$A249:$B249,V$3:V$5,"#")-SUM($M249:U249),0)</f>
        <v>#REF!</v>
      </c>
      <c r="W249" s="61" t="e">
        <f>IF(W$1&lt;=#REF!,_xll.GetCtData("PKAMOUNT","AMOUNT",$A$1:$A$3,$A249:$B249,W$3:W$5,"#")-SUM($M249:V249),0)</f>
        <v>#REF!</v>
      </c>
      <c r="X249" s="61" t="e">
        <f>IF(X$1&lt;=#REF!,_xll.GetCtData("PKAMOUNT","AMOUNT",$A$1:$A$3,$A249:$B249,X$3:X$5,"#")-SUM($M249:W249),0)</f>
        <v>#REF!</v>
      </c>
      <c r="Y249" s="61">
        <f>_xll.GetCtData("PKAMOUNT","AMOUNT",$A$1:$A$3,$A249:$B249,Y$3:Y$5,"#")</f>
        <v>0</v>
      </c>
      <c r="AA249" s="61" t="e">
        <f>$K249*#REF!/12</f>
        <v>#REF!</v>
      </c>
      <c r="AB249" s="60" t="e">
        <f t="shared" ref="AB249:AB279" si="173">ROUND($Y249-AA249,2)</f>
        <v>#REF!</v>
      </c>
      <c r="AD249" s="61" t="e">
        <f>$L249*#REF!/12</f>
        <v>#REF!</v>
      </c>
      <c r="AE249" s="60" t="e">
        <f t="shared" ref="AE249:AE279" si="174">ROUND($Y249-AD249,2)</f>
        <v>#REF!</v>
      </c>
    </row>
    <row r="250" spans="1:31" ht="18" customHeight="1" x14ac:dyDescent="0.2">
      <c r="A250" s="30" t="s">
        <v>129</v>
      </c>
      <c r="B250" s="30" t="s">
        <v>22</v>
      </c>
      <c r="C250" s="4" t="e">
        <f t="shared" si="171"/>
        <v>#REF!</v>
      </c>
      <c r="D250" s="4" t="e">
        <f t="shared" si="172"/>
        <v>#REF!</v>
      </c>
      <c r="F250" s="106" t="s">
        <v>190</v>
      </c>
      <c r="H250" s="61">
        <f>_xll.GetCtData("PKAMOUNT","AMOUNT",$A$1:$A$3,$A250:$B250,H$3:H$5,"#")</f>
        <v>0</v>
      </c>
      <c r="I250" s="61">
        <f>_xll.GetCtData("PKAMOUNT","AMOUNT",$A$1:$A$3,$A250:$B250,I$3:I$5,"#")</f>
        <v>0</v>
      </c>
      <c r="J250" s="61">
        <f>_xll.GetCtData("PKAMOUNT","AMOUNT",$A$1:$A$3,$A250:$B250,J$3:J$5,"#")</f>
        <v>0</v>
      </c>
      <c r="K250" s="86">
        <f>_xll.GetCtData("PKAMOUNT","AMOUNT",$A$1:$A$3,$A250:$B250,K$3:K$5,"#")</f>
        <v>0</v>
      </c>
      <c r="L250" s="86">
        <f>_xll.GetCtData("PKAMOUNT","AMOUNT",$A$1:$A$3,$A250:$B250,L$3:L$5,"#")</f>
        <v>0</v>
      </c>
      <c r="M250" s="61">
        <f>_xll.GetCtData("PKAMOUNT","AMOUNT",$A$1:$A$3,$A250:$B250,M$3:M$5,"#")</f>
        <v>0</v>
      </c>
      <c r="N250" s="61" t="e">
        <f>IF(N$1&lt;=#REF!,_xll.GetCtData("PKAMOUNT","AMOUNT",$A$1:$A$3,$A250:$B250,N$3:N$5,"#")-SUM($M250:M250),0)</f>
        <v>#REF!</v>
      </c>
      <c r="O250" s="61" t="e">
        <f>IF(O$1&lt;=#REF!,_xll.GetCtData("PKAMOUNT","AMOUNT",$A$1:$A$3,$A250:$B250,O$3:O$5,"#")-SUM($M250:N250),0)</f>
        <v>#REF!</v>
      </c>
      <c r="P250" s="61" t="e">
        <f>IF(P$1&lt;=#REF!,_xll.GetCtData("PKAMOUNT","AMOUNT",$A$1:$A$3,$A250:$B250,P$3:P$5,"#")-SUM($M250:O250),0)</f>
        <v>#REF!</v>
      </c>
      <c r="Q250" s="61" t="e">
        <f>IF(Q$1&lt;=#REF!,_xll.GetCtData("PKAMOUNT","AMOUNT",$A$1:$A$3,$A250:$B250,Q$3:Q$5,"#")-SUM($M250:P250),0)</f>
        <v>#REF!</v>
      </c>
      <c r="R250" s="61" t="e">
        <f>IF(R$1&lt;=#REF!,_xll.GetCtData("PKAMOUNT","AMOUNT",$A$1:$A$3,$A250:$B250,R$3:R$5,"#")-SUM($M250:Q250),0)</f>
        <v>#REF!</v>
      </c>
      <c r="S250" s="61" t="e">
        <f>IF(S$1&lt;=#REF!,_xll.GetCtData("PKAMOUNT","AMOUNT",$A$1:$A$3,$A250:$B250,S$3:S$5,"#")-SUM($M250:R250),0)</f>
        <v>#REF!</v>
      </c>
      <c r="T250" s="61" t="e">
        <f>IF(T$1&lt;=#REF!,_xll.GetCtData("PKAMOUNT","AMOUNT",$A$1:$A$3,$A250:$B250,T$3:T$5,"#")-SUM($M250:S250),0)</f>
        <v>#REF!</v>
      </c>
      <c r="U250" s="61" t="e">
        <f>IF(U$1&lt;=#REF!,_xll.GetCtData("PKAMOUNT","AMOUNT",$A$1:$A$3,$A250:$B250,U$3:U$5,"#")-SUM($M250:T250),0)</f>
        <v>#REF!</v>
      </c>
      <c r="V250" s="61" t="e">
        <f>IF(V$1&lt;=#REF!,_xll.GetCtData("PKAMOUNT","AMOUNT",$A$1:$A$3,$A250:$B250,V$3:V$5,"#")-SUM($M250:U250),0)</f>
        <v>#REF!</v>
      </c>
      <c r="W250" s="61" t="e">
        <f>IF(W$1&lt;=#REF!,_xll.GetCtData("PKAMOUNT","AMOUNT",$A$1:$A$3,$A250:$B250,W$3:W$5,"#")-SUM($M250:V250),0)</f>
        <v>#REF!</v>
      </c>
      <c r="X250" s="61" t="e">
        <f>IF(X$1&lt;=#REF!,_xll.GetCtData("PKAMOUNT","AMOUNT",$A$1:$A$3,$A250:$B250,X$3:X$5,"#")-SUM($M250:W250),0)</f>
        <v>#REF!</v>
      </c>
      <c r="Y250" s="61">
        <f>_xll.GetCtData("PKAMOUNT","AMOUNT",$A$1:$A$3,$A250:$B250,Y$3:Y$5,"#")</f>
        <v>0</v>
      </c>
      <c r="AA250" s="61" t="e">
        <f>$K250*#REF!/12</f>
        <v>#REF!</v>
      </c>
      <c r="AB250" s="60" t="e">
        <f t="shared" si="173"/>
        <v>#REF!</v>
      </c>
      <c r="AD250" s="61" t="e">
        <f>$L250*#REF!/12</f>
        <v>#REF!</v>
      </c>
      <c r="AE250" s="60" t="e">
        <f t="shared" si="174"/>
        <v>#REF!</v>
      </c>
    </row>
    <row r="251" spans="1:31" ht="18" customHeight="1" x14ac:dyDescent="0.2">
      <c r="A251" s="30" t="s">
        <v>78</v>
      </c>
      <c r="B251" s="30" t="s">
        <v>22</v>
      </c>
      <c r="C251" s="4" t="e">
        <f t="shared" si="171"/>
        <v>#REF!</v>
      </c>
      <c r="D251" s="4" t="e">
        <f t="shared" si="172"/>
        <v>#REF!</v>
      </c>
      <c r="F251" s="106" t="s">
        <v>77</v>
      </c>
      <c r="H251" s="61">
        <f>_xll.GetCtData("PKAMOUNT","AMOUNT",$A$1:$A$3,$A251:$B251,H$3:H$5,"#")</f>
        <v>0</v>
      </c>
      <c r="I251" s="61">
        <f>_xll.GetCtData("PKAMOUNT","AMOUNT",$A$1:$A$3,$A251:$B251,I$3:I$5,"#")</f>
        <v>0</v>
      </c>
      <c r="J251" s="61">
        <f>_xll.GetCtData("PKAMOUNT","AMOUNT",$A$1:$A$3,$A251:$B251,J$3:J$5,"#")</f>
        <v>0</v>
      </c>
      <c r="K251" s="86">
        <f>_xll.GetCtData("PKAMOUNT","AMOUNT",$A$1:$A$3,$A251:$B251,K$3:K$5,"#")</f>
        <v>0</v>
      </c>
      <c r="L251" s="86">
        <f>_xll.GetCtData("PKAMOUNT","AMOUNT",$A$1:$A$3,$A251:$B251,L$3:L$5,"#")</f>
        <v>0</v>
      </c>
      <c r="M251" s="61">
        <f>_xll.GetCtData("PKAMOUNT","AMOUNT",$A$1:$A$3,$A251:$B251,M$3:M$5,"#")</f>
        <v>0</v>
      </c>
      <c r="N251" s="61" t="e">
        <f>IF(N$1&lt;=#REF!,_xll.GetCtData("PKAMOUNT","AMOUNT",$A$1:$A$3,$A251:$B251,N$3:N$5,"#")-SUM($M251:M251),0)</f>
        <v>#REF!</v>
      </c>
      <c r="O251" s="61" t="e">
        <f>IF(O$1&lt;=#REF!,_xll.GetCtData("PKAMOUNT","AMOUNT",$A$1:$A$3,$A251:$B251,O$3:O$5,"#")-SUM($M251:N251),0)</f>
        <v>#REF!</v>
      </c>
      <c r="P251" s="61" t="e">
        <f>IF(P$1&lt;=#REF!,_xll.GetCtData("PKAMOUNT","AMOUNT",$A$1:$A$3,$A251:$B251,P$3:P$5,"#")-SUM($M251:O251),0)</f>
        <v>#REF!</v>
      </c>
      <c r="Q251" s="61" t="e">
        <f>IF(Q$1&lt;=#REF!,_xll.GetCtData("PKAMOUNT","AMOUNT",$A$1:$A$3,$A251:$B251,Q$3:Q$5,"#")-SUM($M251:P251),0)</f>
        <v>#REF!</v>
      </c>
      <c r="R251" s="61" t="e">
        <f>IF(R$1&lt;=#REF!,_xll.GetCtData("PKAMOUNT","AMOUNT",$A$1:$A$3,$A251:$B251,R$3:R$5,"#")-SUM($M251:Q251),0)</f>
        <v>#REF!</v>
      </c>
      <c r="S251" s="61" t="e">
        <f>IF(S$1&lt;=#REF!,_xll.GetCtData("PKAMOUNT","AMOUNT",$A$1:$A$3,$A251:$B251,S$3:S$5,"#")-SUM($M251:R251),0)</f>
        <v>#REF!</v>
      </c>
      <c r="T251" s="61" t="e">
        <f>IF(T$1&lt;=#REF!,_xll.GetCtData("PKAMOUNT","AMOUNT",$A$1:$A$3,$A251:$B251,T$3:T$5,"#")-SUM($M251:S251),0)</f>
        <v>#REF!</v>
      </c>
      <c r="U251" s="61" t="e">
        <f>IF(U$1&lt;=#REF!,_xll.GetCtData("PKAMOUNT","AMOUNT",$A$1:$A$3,$A251:$B251,U$3:U$5,"#")-SUM($M251:T251),0)</f>
        <v>#REF!</v>
      </c>
      <c r="V251" s="61" t="e">
        <f>IF(V$1&lt;=#REF!,_xll.GetCtData("PKAMOUNT","AMOUNT",$A$1:$A$3,$A251:$B251,V$3:V$5,"#")-SUM($M251:U251),0)</f>
        <v>#REF!</v>
      </c>
      <c r="W251" s="61" t="e">
        <f>IF(W$1&lt;=#REF!,_xll.GetCtData("PKAMOUNT","AMOUNT",$A$1:$A$3,$A251:$B251,W$3:W$5,"#")-SUM($M251:V251),0)</f>
        <v>#REF!</v>
      </c>
      <c r="X251" s="61" t="e">
        <f>IF(X$1&lt;=#REF!,_xll.GetCtData("PKAMOUNT","AMOUNT",$A$1:$A$3,$A251:$B251,X$3:X$5,"#")-SUM($M251:W251),0)</f>
        <v>#REF!</v>
      </c>
      <c r="Y251" s="61">
        <f>_xll.GetCtData("PKAMOUNT","AMOUNT",$A$1:$A$3,$A251:$B251,Y$3:Y$5,"#")</f>
        <v>0</v>
      </c>
      <c r="AA251" s="61" t="e">
        <f>$K251*#REF!/12</f>
        <v>#REF!</v>
      </c>
      <c r="AB251" s="60" t="e">
        <f t="shared" si="173"/>
        <v>#REF!</v>
      </c>
      <c r="AD251" s="61" t="e">
        <f>$L251*#REF!/12</f>
        <v>#REF!</v>
      </c>
      <c r="AE251" s="60" t="e">
        <f t="shared" si="174"/>
        <v>#REF!</v>
      </c>
    </row>
    <row r="252" spans="1:31" ht="18" customHeight="1" x14ac:dyDescent="0.2">
      <c r="A252" s="30" t="s">
        <v>75</v>
      </c>
      <c r="B252" s="30" t="s">
        <v>22</v>
      </c>
      <c r="C252" s="4" t="e">
        <f t="shared" si="171"/>
        <v>#REF!</v>
      </c>
      <c r="D252" s="4" t="e">
        <f t="shared" si="172"/>
        <v>#REF!</v>
      </c>
      <c r="F252" s="106" t="s">
        <v>76</v>
      </c>
      <c r="H252" s="61">
        <f>_xll.GetCtData("PKAMOUNT","AMOUNT",$A$1:$A$3,$A252:$B252,H$3:H$5,"#")</f>
        <v>0</v>
      </c>
      <c r="I252" s="61">
        <f>_xll.GetCtData("PKAMOUNT","AMOUNT",$A$1:$A$3,$A252:$B252,I$3:I$5,"#")</f>
        <v>0</v>
      </c>
      <c r="J252" s="61">
        <f>_xll.GetCtData("PKAMOUNT","AMOUNT",$A$1:$A$3,$A252:$B252,J$3:J$5,"#")</f>
        <v>0</v>
      </c>
      <c r="K252" s="86">
        <f>_xll.GetCtData("PKAMOUNT","AMOUNT",$A$1:$A$3,$A252:$B252,K$3:K$5,"#")</f>
        <v>0</v>
      </c>
      <c r="L252" s="86">
        <f>_xll.GetCtData("PKAMOUNT","AMOUNT",$A$1:$A$3,$A252:$B252,L$3:L$5,"#")</f>
        <v>0</v>
      </c>
      <c r="M252" s="61">
        <f>_xll.GetCtData("PKAMOUNT","AMOUNT",$A$1:$A$3,$A252:$B252,M$3:M$5,"#")</f>
        <v>0</v>
      </c>
      <c r="N252" s="61" t="e">
        <f>IF(N$1&lt;=#REF!,_xll.GetCtData("PKAMOUNT","AMOUNT",$A$1:$A$3,$A252:$B252,N$3:N$5,"#")-SUM($M252:M252),0)</f>
        <v>#REF!</v>
      </c>
      <c r="O252" s="61" t="e">
        <f>IF(O$1&lt;=#REF!,_xll.GetCtData("PKAMOUNT","AMOUNT",$A$1:$A$3,$A252:$B252,O$3:O$5,"#")-SUM($M252:N252),0)</f>
        <v>#REF!</v>
      </c>
      <c r="P252" s="61" t="e">
        <f>IF(P$1&lt;=#REF!,_xll.GetCtData("PKAMOUNT","AMOUNT",$A$1:$A$3,$A252:$B252,P$3:P$5,"#")-SUM($M252:O252),0)</f>
        <v>#REF!</v>
      </c>
      <c r="Q252" s="61" t="e">
        <f>IF(Q$1&lt;=#REF!,_xll.GetCtData("PKAMOUNT","AMOUNT",$A$1:$A$3,$A252:$B252,Q$3:Q$5,"#")-SUM($M252:P252),0)</f>
        <v>#REF!</v>
      </c>
      <c r="R252" s="61" t="e">
        <f>IF(R$1&lt;=#REF!,_xll.GetCtData("PKAMOUNT","AMOUNT",$A$1:$A$3,$A252:$B252,R$3:R$5,"#")-SUM($M252:Q252),0)</f>
        <v>#REF!</v>
      </c>
      <c r="S252" s="61" t="e">
        <f>IF(S$1&lt;=#REF!,_xll.GetCtData("PKAMOUNT","AMOUNT",$A$1:$A$3,$A252:$B252,S$3:S$5,"#")-SUM($M252:R252),0)</f>
        <v>#REF!</v>
      </c>
      <c r="T252" s="61" t="e">
        <f>IF(T$1&lt;=#REF!,_xll.GetCtData("PKAMOUNT","AMOUNT",$A$1:$A$3,$A252:$B252,T$3:T$5,"#")-SUM($M252:S252),0)</f>
        <v>#REF!</v>
      </c>
      <c r="U252" s="61" t="e">
        <f>IF(U$1&lt;=#REF!,_xll.GetCtData("PKAMOUNT","AMOUNT",$A$1:$A$3,$A252:$B252,U$3:U$5,"#")-SUM($M252:T252),0)</f>
        <v>#REF!</v>
      </c>
      <c r="V252" s="61" t="e">
        <f>IF(V$1&lt;=#REF!,_xll.GetCtData("PKAMOUNT","AMOUNT",$A$1:$A$3,$A252:$B252,V$3:V$5,"#")-SUM($M252:U252),0)</f>
        <v>#REF!</v>
      </c>
      <c r="W252" s="61" t="e">
        <f>IF(W$1&lt;=#REF!,_xll.GetCtData("PKAMOUNT","AMOUNT",$A$1:$A$3,$A252:$B252,W$3:W$5,"#")-SUM($M252:V252),0)</f>
        <v>#REF!</v>
      </c>
      <c r="X252" s="61" t="e">
        <f>IF(X$1&lt;=#REF!,_xll.GetCtData("PKAMOUNT","AMOUNT",$A$1:$A$3,$A252:$B252,X$3:X$5,"#")-SUM($M252:W252),0)</f>
        <v>#REF!</v>
      </c>
      <c r="Y252" s="61">
        <f>_xll.GetCtData("PKAMOUNT","AMOUNT",$A$1:$A$3,$A252:$B252,Y$3:Y$5,"#")</f>
        <v>0</v>
      </c>
      <c r="AA252" s="61" t="e">
        <f>$K252*#REF!/12</f>
        <v>#REF!</v>
      </c>
      <c r="AB252" s="60" t="e">
        <f t="shared" si="173"/>
        <v>#REF!</v>
      </c>
      <c r="AD252" s="61" t="e">
        <f>$L252*#REF!/12</f>
        <v>#REF!</v>
      </c>
      <c r="AE252" s="60" t="e">
        <f t="shared" si="174"/>
        <v>#REF!</v>
      </c>
    </row>
    <row r="253" spans="1:31" ht="18" customHeight="1" x14ac:dyDescent="0.2">
      <c r="A253" s="30" t="s">
        <v>181</v>
      </c>
      <c r="B253" s="30" t="s">
        <v>22</v>
      </c>
      <c r="C253" s="4" t="e">
        <f t="shared" si="171"/>
        <v>#REF!</v>
      </c>
      <c r="D253" s="4" t="e">
        <f t="shared" si="172"/>
        <v>#REF!</v>
      </c>
      <c r="F253" s="106" t="s">
        <v>182</v>
      </c>
      <c r="H253" s="61">
        <f>_xll.GetCtData("PKAMOUNT","AMOUNT",$A$1:$A$3,$A253:$B253,H$3:H$5,"#")</f>
        <v>0</v>
      </c>
      <c r="I253" s="61">
        <f>_xll.GetCtData("PKAMOUNT","AMOUNT",$A$1:$A$3,$A253:$B253,I$3:I$5,"#")</f>
        <v>0</v>
      </c>
      <c r="J253" s="61">
        <f>_xll.GetCtData("PKAMOUNT","AMOUNT",$A$1:$A$3,$A253:$B253,J$3:J$5,"#")</f>
        <v>0</v>
      </c>
      <c r="K253" s="86">
        <f>_xll.GetCtData("PKAMOUNT","AMOUNT",$A$1:$A$3,$A253:$B253,K$3:K$5,"#")</f>
        <v>0</v>
      </c>
      <c r="L253" s="86">
        <f>_xll.GetCtData("PKAMOUNT","AMOUNT",$A$1:$A$3,$A253:$B253,L$3:L$5,"#")</f>
        <v>0</v>
      </c>
      <c r="M253" s="61">
        <f>_xll.GetCtData("PKAMOUNT","AMOUNT",$A$1:$A$3,$A253:$B253,M$3:M$5,"#")</f>
        <v>0</v>
      </c>
      <c r="N253" s="61" t="e">
        <f>IF(N$1&lt;=#REF!,_xll.GetCtData("PKAMOUNT","AMOUNT",$A$1:$A$3,$A253:$B253,N$3:N$5,"#")-SUM($M253:M253),0)</f>
        <v>#REF!</v>
      </c>
      <c r="O253" s="61" t="e">
        <f>IF(O$1&lt;=#REF!,_xll.GetCtData("PKAMOUNT","AMOUNT",$A$1:$A$3,$A253:$B253,O$3:O$5,"#")-SUM($M253:N253),0)</f>
        <v>#REF!</v>
      </c>
      <c r="P253" s="61" t="e">
        <f>IF(P$1&lt;=#REF!,_xll.GetCtData("PKAMOUNT","AMOUNT",$A$1:$A$3,$A253:$B253,P$3:P$5,"#")-SUM($M253:O253),0)</f>
        <v>#REF!</v>
      </c>
      <c r="Q253" s="61" t="e">
        <f>IF(Q$1&lt;=#REF!,_xll.GetCtData("PKAMOUNT","AMOUNT",$A$1:$A$3,$A253:$B253,Q$3:Q$5,"#")-SUM($M253:P253),0)</f>
        <v>#REF!</v>
      </c>
      <c r="R253" s="61" t="e">
        <f>IF(R$1&lt;=#REF!,_xll.GetCtData("PKAMOUNT","AMOUNT",$A$1:$A$3,$A253:$B253,R$3:R$5,"#")-SUM($M253:Q253),0)</f>
        <v>#REF!</v>
      </c>
      <c r="S253" s="61" t="e">
        <f>IF(S$1&lt;=#REF!,_xll.GetCtData("PKAMOUNT","AMOUNT",$A$1:$A$3,$A253:$B253,S$3:S$5,"#")-SUM($M253:R253),0)</f>
        <v>#REF!</v>
      </c>
      <c r="T253" s="61" t="e">
        <f>IF(T$1&lt;=#REF!,_xll.GetCtData("PKAMOUNT","AMOUNT",$A$1:$A$3,$A253:$B253,T$3:T$5,"#")-SUM($M253:S253),0)</f>
        <v>#REF!</v>
      </c>
      <c r="U253" s="61" t="e">
        <f>IF(U$1&lt;=#REF!,_xll.GetCtData("PKAMOUNT","AMOUNT",$A$1:$A$3,$A253:$B253,U$3:U$5,"#")-SUM($M253:T253),0)</f>
        <v>#REF!</v>
      </c>
      <c r="V253" s="61" t="e">
        <f>IF(V$1&lt;=#REF!,_xll.GetCtData("PKAMOUNT","AMOUNT",$A$1:$A$3,$A253:$B253,V$3:V$5,"#")-SUM($M253:U253),0)</f>
        <v>#REF!</v>
      </c>
      <c r="W253" s="61" t="e">
        <f>IF(W$1&lt;=#REF!,_xll.GetCtData("PKAMOUNT","AMOUNT",$A$1:$A$3,$A253:$B253,W$3:W$5,"#")-SUM($M253:V253),0)</f>
        <v>#REF!</v>
      </c>
      <c r="X253" s="61" t="e">
        <f>IF(X$1&lt;=#REF!,_xll.GetCtData("PKAMOUNT","AMOUNT",$A$1:$A$3,$A253:$B253,X$3:X$5,"#")-SUM($M253:W253),0)</f>
        <v>#REF!</v>
      </c>
      <c r="Y253" s="61">
        <f>_xll.GetCtData("PKAMOUNT","AMOUNT",$A$1:$A$3,$A253:$B253,Y$3:Y$5,"#")</f>
        <v>0</v>
      </c>
      <c r="AA253" s="61" t="e">
        <f>$K253*#REF!/12</f>
        <v>#REF!</v>
      </c>
      <c r="AB253" s="60" t="e">
        <f t="shared" si="173"/>
        <v>#REF!</v>
      </c>
      <c r="AD253" s="61" t="e">
        <f>$L253*#REF!/12</f>
        <v>#REF!</v>
      </c>
      <c r="AE253" s="60" t="e">
        <f t="shared" si="174"/>
        <v>#REF!</v>
      </c>
    </row>
    <row r="254" spans="1:31" ht="18" customHeight="1" x14ac:dyDescent="0.2">
      <c r="A254" s="30" t="s">
        <v>90</v>
      </c>
      <c r="B254" s="30" t="s">
        <v>22</v>
      </c>
      <c r="C254" s="4" t="e">
        <f t="shared" si="171"/>
        <v>#REF!</v>
      </c>
      <c r="D254" s="4" t="e">
        <f t="shared" si="172"/>
        <v>#REF!</v>
      </c>
      <c r="F254" s="106" t="s">
        <v>95</v>
      </c>
      <c r="H254" s="61">
        <f>_xll.GetCtData("PKAMOUNT","AMOUNT",$A$1:$A$3,$A254:$B254,H$3:H$5,"#")</f>
        <v>0</v>
      </c>
      <c r="I254" s="61">
        <f>_xll.GetCtData("PKAMOUNT","AMOUNT",$A$1:$A$3,$A254:$B254,I$3:I$5,"#")</f>
        <v>0</v>
      </c>
      <c r="J254" s="61">
        <f>_xll.GetCtData("PKAMOUNT","AMOUNT",$A$1:$A$3,$A254:$B254,J$3:J$5,"#")</f>
        <v>0</v>
      </c>
      <c r="K254" s="86">
        <f>_xll.GetCtData("PKAMOUNT","AMOUNT",$A$1:$A$3,$A254:$B254,K$3:K$5,"#")</f>
        <v>0</v>
      </c>
      <c r="L254" s="86">
        <f>_xll.GetCtData("PKAMOUNT","AMOUNT",$A$1:$A$3,$A254:$B254,L$3:L$5,"#")</f>
        <v>0</v>
      </c>
      <c r="M254" s="61">
        <f>_xll.GetCtData("PKAMOUNT","AMOUNT",$A$1:$A$3,$A254:$B254,M$3:M$5,"#")</f>
        <v>0</v>
      </c>
      <c r="N254" s="61" t="e">
        <f>IF(N$1&lt;=#REF!,_xll.GetCtData("PKAMOUNT","AMOUNT",$A$1:$A$3,$A254:$B254,N$3:N$5,"#")-SUM($M254:M254),0)</f>
        <v>#REF!</v>
      </c>
      <c r="O254" s="61" t="e">
        <f>IF(O$1&lt;=#REF!,_xll.GetCtData("PKAMOUNT","AMOUNT",$A$1:$A$3,$A254:$B254,O$3:O$5,"#")-SUM($M254:N254),0)</f>
        <v>#REF!</v>
      </c>
      <c r="P254" s="61" t="e">
        <f>IF(P$1&lt;=#REF!,_xll.GetCtData("PKAMOUNT","AMOUNT",$A$1:$A$3,$A254:$B254,P$3:P$5,"#")-SUM($M254:O254),0)</f>
        <v>#REF!</v>
      </c>
      <c r="Q254" s="61" t="e">
        <f>IF(Q$1&lt;=#REF!,_xll.GetCtData("PKAMOUNT","AMOUNT",$A$1:$A$3,$A254:$B254,Q$3:Q$5,"#")-SUM($M254:P254),0)</f>
        <v>#REF!</v>
      </c>
      <c r="R254" s="61" t="e">
        <f>IF(R$1&lt;=#REF!,_xll.GetCtData("PKAMOUNT","AMOUNT",$A$1:$A$3,$A254:$B254,R$3:R$5,"#")-SUM($M254:Q254),0)</f>
        <v>#REF!</v>
      </c>
      <c r="S254" s="61" t="e">
        <f>IF(S$1&lt;=#REF!,_xll.GetCtData("PKAMOUNT","AMOUNT",$A$1:$A$3,$A254:$B254,S$3:S$5,"#")-SUM($M254:R254),0)</f>
        <v>#REF!</v>
      </c>
      <c r="T254" s="61" t="e">
        <f>IF(T$1&lt;=#REF!,_xll.GetCtData("PKAMOUNT","AMOUNT",$A$1:$A$3,$A254:$B254,T$3:T$5,"#")-SUM($M254:S254),0)</f>
        <v>#REF!</v>
      </c>
      <c r="U254" s="61" t="e">
        <f>IF(U$1&lt;=#REF!,_xll.GetCtData("PKAMOUNT","AMOUNT",$A$1:$A$3,$A254:$B254,U$3:U$5,"#")-SUM($M254:T254),0)</f>
        <v>#REF!</v>
      </c>
      <c r="V254" s="61" t="e">
        <f>IF(V$1&lt;=#REF!,_xll.GetCtData("PKAMOUNT","AMOUNT",$A$1:$A$3,$A254:$B254,V$3:V$5,"#")-SUM($M254:U254),0)</f>
        <v>#REF!</v>
      </c>
      <c r="W254" s="61" t="e">
        <f>IF(W$1&lt;=#REF!,_xll.GetCtData("PKAMOUNT","AMOUNT",$A$1:$A$3,$A254:$B254,W$3:W$5,"#")-SUM($M254:V254),0)</f>
        <v>#REF!</v>
      </c>
      <c r="X254" s="61" t="e">
        <f>IF(X$1&lt;=#REF!,_xll.GetCtData("PKAMOUNT","AMOUNT",$A$1:$A$3,$A254:$B254,X$3:X$5,"#")-SUM($M254:W254),0)</f>
        <v>#REF!</v>
      </c>
      <c r="Y254" s="61">
        <f>_xll.GetCtData("PKAMOUNT","AMOUNT",$A$1:$A$3,$A254:$B254,Y$3:Y$5,"#")</f>
        <v>0</v>
      </c>
      <c r="AA254" s="61" t="e">
        <f>$K254*#REF!/12</f>
        <v>#REF!</v>
      </c>
      <c r="AB254" s="60" t="e">
        <f t="shared" si="173"/>
        <v>#REF!</v>
      </c>
      <c r="AD254" s="61" t="e">
        <f>$L254*#REF!/12</f>
        <v>#REF!</v>
      </c>
      <c r="AE254" s="60" t="e">
        <f t="shared" si="174"/>
        <v>#REF!</v>
      </c>
    </row>
    <row r="255" spans="1:31" ht="18" customHeight="1" x14ac:dyDescent="0.2">
      <c r="A255" s="30" t="s">
        <v>91</v>
      </c>
      <c r="B255" s="30" t="s">
        <v>22</v>
      </c>
      <c r="C255" s="4" t="e">
        <f t="shared" si="171"/>
        <v>#REF!</v>
      </c>
      <c r="D255" s="4" t="e">
        <f t="shared" si="172"/>
        <v>#REF!</v>
      </c>
      <c r="F255" s="106" t="s">
        <v>96</v>
      </c>
      <c r="H255" s="61">
        <f>_xll.GetCtData("PKAMOUNT","AMOUNT",$A$1:$A$3,$A255:$B255,H$3:H$5,"#")</f>
        <v>0</v>
      </c>
      <c r="I255" s="61">
        <f>_xll.GetCtData("PKAMOUNT","AMOUNT",$A$1:$A$3,$A255:$B255,I$3:I$5,"#")</f>
        <v>0</v>
      </c>
      <c r="J255" s="61">
        <f>_xll.GetCtData("PKAMOUNT","AMOUNT",$A$1:$A$3,$A255:$B255,J$3:J$5,"#")</f>
        <v>0</v>
      </c>
      <c r="K255" s="86">
        <f>_xll.GetCtData("PKAMOUNT","AMOUNT",$A$1:$A$3,$A255:$B255,K$3:K$5,"#")</f>
        <v>0</v>
      </c>
      <c r="L255" s="86">
        <f>_xll.GetCtData("PKAMOUNT","AMOUNT",$A$1:$A$3,$A255:$B255,L$3:L$5,"#")</f>
        <v>0</v>
      </c>
      <c r="M255" s="61">
        <f>_xll.GetCtData("PKAMOUNT","AMOUNT",$A$1:$A$3,$A255:$B255,M$3:M$5,"#")</f>
        <v>0</v>
      </c>
      <c r="N255" s="61" t="e">
        <f>IF(N$1&lt;=#REF!,_xll.GetCtData("PKAMOUNT","AMOUNT",$A$1:$A$3,$A255:$B255,N$3:N$5,"#")-SUM($M255:M255),0)</f>
        <v>#REF!</v>
      </c>
      <c r="O255" s="61" t="e">
        <f>IF(O$1&lt;=#REF!,_xll.GetCtData("PKAMOUNT","AMOUNT",$A$1:$A$3,$A255:$B255,O$3:O$5,"#")-SUM($M255:N255),0)</f>
        <v>#REF!</v>
      </c>
      <c r="P255" s="61" t="e">
        <f>IF(P$1&lt;=#REF!,_xll.GetCtData("PKAMOUNT","AMOUNT",$A$1:$A$3,$A255:$B255,P$3:P$5,"#")-SUM($M255:O255),0)</f>
        <v>#REF!</v>
      </c>
      <c r="Q255" s="61" t="e">
        <f>IF(Q$1&lt;=#REF!,_xll.GetCtData("PKAMOUNT","AMOUNT",$A$1:$A$3,$A255:$B255,Q$3:Q$5,"#")-SUM($M255:P255),0)</f>
        <v>#REF!</v>
      </c>
      <c r="R255" s="61" t="e">
        <f>IF(R$1&lt;=#REF!,_xll.GetCtData("PKAMOUNT","AMOUNT",$A$1:$A$3,$A255:$B255,R$3:R$5,"#")-SUM($M255:Q255),0)</f>
        <v>#REF!</v>
      </c>
      <c r="S255" s="61" t="e">
        <f>IF(S$1&lt;=#REF!,_xll.GetCtData("PKAMOUNT","AMOUNT",$A$1:$A$3,$A255:$B255,S$3:S$5,"#")-SUM($M255:R255),0)</f>
        <v>#REF!</v>
      </c>
      <c r="T255" s="61" t="e">
        <f>IF(T$1&lt;=#REF!,_xll.GetCtData("PKAMOUNT","AMOUNT",$A$1:$A$3,$A255:$B255,T$3:T$5,"#")-SUM($M255:S255),0)</f>
        <v>#REF!</v>
      </c>
      <c r="U255" s="61" t="e">
        <f>IF(U$1&lt;=#REF!,_xll.GetCtData("PKAMOUNT","AMOUNT",$A$1:$A$3,$A255:$B255,U$3:U$5,"#")-SUM($M255:T255),0)</f>
        <v>#REF!</v>
      </c>
      <c r="V255" s="61" t="e">
        <f>IF(V$1&lt;=#REF!,_xll.GetCtData("PKAMOUNT","AMOUNT",$A$1:$A$3,$A255:$B255,V$3:V$5,"#")-SUM($M255:U255),0)</f>
        <v>#REF!</v>
      </c>
      <c r="W255" s="61" t="e">
        <f>IF(W$1&lt;=#REF!,_xll.GetCtData("PKAMOUNT","AMOUNT",$A$1:$A$3,$A255:$B255,W$3:W$5,"#")-SUM($M255:V255),0)</f>
        <v>#REF!</v>
      </c>
      <c r="X255" s="61" t="e">
        <f>IF(X$1&lt;=#REF!,_xll.GetCtData("PKAMOUNT","AMOUNT",$A$1:$A$3,$A255:$B255,X$3:X$5,"#")-SUM($M255:W255),0)</f>
        <v>#REF!</v>
      </c>
      <c r="Y255" s="61">
        <f>_xll.GetCtData("PKAMOUNT","AMOUNT",$A$1:$A$3,$A255:$B255,Y$3:Y$5,"#")</f>
        <v>0</v>
      </c>
      <c r="AA255" s="61" t="e">
        <f>$K255*#REF!/12</f>
        <v>#REF!</v>
      </c>
      <c r="AB255" s="60" t="e">
        <f t="shared" si="173"/>
        <v>#REF!</v>
      </c>
      <c r="AD255" s="61" t="e">
        <f>$L255*#REF!/12</f>
        <v>#REF!</v>
      </c>
      <c r="AE255" s="60" t="e">
        <f t="shared" si="174"/>
        <v>#REF!</v>
      </c>
    </row>
    <row r="256" spans="1:31" ht="18" customHeight="1" x14ac:dyDescent="0.2">
      <c r="A256" s="30" t="s">
        <v>74</v>
      </c>
      <c r="B256" s="30" t="s">
        <v>22</v>
      </c>
      <c r="C256" s="4" t="e">
        <f t="shared" si="171"/>
        <v>#REF!</v>
      </c>
      <c r="D256" s="4" t="e">
        <f t="shared" si="172"/>
        <v>#REF!</v>
      </c>
      <c r="F256" s="106" t="s">
        <v>97</v>
      </c>
      <c r="H256" s="61">
        <f>_xll.GetCtData("PKAMOUNT","AMOUNT",$A$1:$A$3,$A256:$B256,H$3:H$5,"#")</f>
        <v>0</v>
      </c>
      <c r="I256" s="61">
        <f>_xll.GetCtData("PKAMOUNT","AMOUNT",$A$1:$A$3,$A256:$B256,I$3:I$5,"#")</f>
        <v>0</v>
      </c>
      <c r="J256" s="61">
        <f>_xll.GetCtData("PKAMOUNT","AMOUNT",$A$1:$A$3,$A256:$B256,J$3:J$5,"#")</f>
        <v>0</v>
      </c>
      <c r="K256" s="86">
        <f>_xll.GetCtData("PKAMOUNT","AMOUNT",$A$1:$A$3,$A256:$B256,K$3:K$5,"#")</f>
        <v>0</v>
      </c>
      <c r="L256" s="86">
        <f>_xll.GetCtData("PKAMOUNT","AMOUNT",$A$1:$A$3,$A256:$B256,L$3:L$5,"#")</f>
        <v>0</v>
      </c>
      <c r="M256" s="61">
        <f>_xll.GetCtData("PKAMOUNT","AMOUNT",$A$1:$A$3,$A256:$B256,M$3:M$5,"#")</f>
        <v>0</v>
      </c>
      <c r="N256" s="61" t="e">
        <f>IF(N$1&lt;=#REF!,_xll.GetCtData("PKAMOUNT","AMOUNT",$A$1:$A$3,$A256:$B256,N$3:N$5,"#")-SUM($M256:M256),0)</f>
        <v>#REF!</v>
      </c>
      <c r="O256" s="61" t="e">
        <f>IF(O$1&lt;=#REF!,_xll.GetCtData("PKAMOUNT","AMOUNT",$A$1:$A$3,$A256:$B256,O$3:O$5,"#")-SUM($M256:N256),0)</f>
        <v>#REF!</v>
      </c>
      <c r="P256" s="61" t="e">
        <f>IF(P$1&lt;=#REF!,_xll.GetCtData("PKAMOUNT","AMOUNT",$A$1:$A$3,$A256:$B256,P$3:P$5,"#")-SUM($M256:O256),0)</f>
        <v>#REF!</v>
      </c>
      <c r="Q256" s="61" t="e">
        <f>IF(Q$1&lt;=#REF!,_xll.GetCtData("PKAMOUNT","AMOUNT",$A$1:$A$3,$A256:$B256,Q$3:Q$5,"#")-SUM($M256:P256),0)</f>
        <v>#REF!</v>
      </c>
      <c r="R256" s="61" t="e">
        <f>IF(R$1&lt;=#REF!,_xll.GetCtData("PKAMOUNT","AMOUNT",$A$1:$A$3,$A256:$B256,R$3:R$5,"#")-SUM($M256:Q256),0)</f>
        <v>#REF!</v>
      </c>
      <c r="S256" s="61" t="e">
        <f>IF(S$1&lt;=#REF!,_xll.GetCtData("PKAMOUNT","AMOUNT",$A$1:$A$3,$A256:$B256,S$3:S$5,"#")-SUM($M256:R256),0)</f>
        <v>#REF!</v>
      </c>
      <c r="T256" s="61" t="e">
        <f>IF(T$1&lt;=#REF!,_xll.GetCtData("PKAMOUNT","AMOUNT",$A$1:$A$3,$A256:$B256,T$3:T$5,"#")-SUM($M256:S256),0)</f>
        <v>#REF!</v>
      </c>
      <c r="U256" s="61" t="e">
        <f>IF(U$1&lt;=#REF!,_xll.GetCtData("PKAMOUNT","AMOUNT",$A$1:$A$3,$A256:$B256,U$3:U$5,"#")-SUM($M256:T256),0)</f>
        <v>#REF!</v>
      </c>
      <c r="V256" s="61" t="e">
        <f>IF(V$1&lt;=#REF!,_xll.GetCtData("PKAMOUNT","AMOUNT",$A$1:$A$3,$A256:$B256,V$3:V$5,"#")-SUM($M256:U256),0)</f>
        <v>#REF!</v>
      </c>
      <c r="W256" s="61" t="e">
        <f>IF(W$1&lt;=#REF!,_xll.GetCtData("PKAMOUNT","AMOUNT",$A$1:$A$3,$A256:$B256,W$3:W$5,"#")-SUM($M256:V256),0)</f>
        <v>#REF!</v>
      </c>
      <c r="X256" s="61" t="e">
        <f>IF(X$1&lt;=#REF!,_xll.GetCtData("PKAMOUNT","AMOUNT",$A$1:$A$3,$A256:$B256,X$3:X$5,"#")-SUM($M256:W256),0)</f>
        <v>#REF!</v>
      </c>
      <c r="Y256" s="61">
        <f>_xll.GetCtData("PKAMOUNT","AMOUNT",$A$1:$A$3,$A256:$B256,Y$3:Y$5,"#")</f>
        <v>0</v>
      </c>
      <c r="AA256" s="61" t="e">
        <f>$K256*#REF!/12</f>
        <v>#REF!</v>
      </c>
      <c r="AB256" s="60" t="e">
        <f t="shared" si="173"/>
        <v>#REF!</v>
      </c>
      <c r="AD256" s="61" t="e">
        <f>$L256*#REF!/12</f>
        <v>#REF!</v>
      </c>
      <c r="AE256" s="60" t="e">
        <f t="shared" si="174"/>
        <v>#REF!</v>
      </c>
    </row>
    <row r="257" spans="1:31" ht="18" customHeight="1" x14ac:dyDescent="0.2">
      <c r="A257" s="30" t="s">
        <v>197</v>
      </c>
      <c r="B257" s="30" t="s">
        <v>22</v>
      </c>
      <c r="C257" s="4" t="e">
        <f t="shared" si="171"/>
        <v>#REF!</v>
      </c>
      <c r="D257" s="4" t="e">
        <f t="shared" si="172"/>
        <v>#REF!</v>
      </c>
      <c r="F257" s="106" t="s">
        <v>198</v>
      </c>
      <c r="H257" s="61">
        <f>_xll.GetCtData("PKAMOUNT","AMOUNT",$A$1:$A$3,$A257:$B257,H$3:H$5,"#")</f>
        <v>0</v>
      </c>
      <c r="I257" s="61">
        <f>_xll.GetCtData("PKAMOUNT","AMOUNT",$A$1:$A$3,$A257:$B257,I$3:I$5,"#")</f>
        <v>0</v>
      </c>
      <c r="J257" s="61">
        <f>_xll.GetCtData("PKAMOUNT","AMOUNT",$A$1:$A$3,$A257:$B257,J$3:J$5,"#")</f>
        <v>0</v>
      </c>
      <c r="K257" s="86">
        <f>_xll.GetCtData("PKAMOUNT","AMOUNT",$A$1:$A$3,$A257:$B257,K$3:K$5,"#")</f>
        <v>0</v>
      </c>
      <c r="L257" s="86">
        <f>_xll.GetCtData("PKAMOUNT","AMOUNT",$A$1:$A$3,$A257:$B257,L$3:L$5,"#")</f>
        <v>0</v>
      </c>
      <c r="M257" s="61">
        <f>_xll.GetCtData("PKAMOUNT","AMOUNT",$A$1:$A$3,$A257:$B257,M$3:M$5,"#")</f>
        <v>0</v>
      </c>
      <c r="N257" s="61" t="e">
        <f>IF(N$1&lt;=#REF!,_xll.GetCtData("PKAMOUNT","AMOUNT",$A$1:$A$3,$A257:$B257,N$3:N$5,"#")-SUM($M257:M257),0)</f>
        <v>#REF!</v>
      </c>
      <c r="O257" s="61" t="e">
        <f>IF(O$1&lt;=#REF!,_xll.GetCtData("PKAMOUNT","AMOUNT",$A$1:$A$3,$A257:$B257,O$3:O$5,"#")-SUM($M257:N257),0)</f>
        <v>#REF!</v>
      </c>
      <c r="P257" s="61" t="e">
        <f>IF(P$1&lt;=#REF!,_xll.GetCtData("PKAMOUNT","AMOUNT",$A$1:$A$3,$A257:$B257,P$3:P$5,"#")-SUM($M257:O257),0)</f>
        <v>#REF!</v>
      </c>
      <c r="Q257" s="61" t="e">
        <f>IF(Q$1&lt;=#REF!,_xll.GetCtData("PKAMOUNT","AMOUNT",$A$1:$A$3,$A257:$B257,Q$3:Q$5,"#")-SUM($M257:P257),0)</f>
        <v>#REF!</v>
      </c>
      <c r="R257" s="61" t="e">
        <f>IF(R$1&lt;=#REF!,_xll.GetCtData("PKAMOUNT","AMOUNT",$A$1:$A$3,$A257:$B257,R$3:R$5,"#")-SUM($M257:Q257),0)</f>
        <v>#REF!</v>
      </c>
      <c r="S257" s="61" t="e">
        <f>IF(S$1&lt;=#REF!,_xll.GetCtData("PKAMOUNT","AMOUNT",$A$1:$A$3,$A257:$B257,S$3:S$5,"#")-SUM($M257:R257),0)</f>
        <v>#REF!</v>
      </c>
      <c r="T257" s="61" t="e">
        <f>IF(T$1&lt;=#REF!,_xll.GetCtData("PKAMOUNT","AMOUNT",$A$1:$A$3,$A257:$B257,T$3:T$5,"#")-SUM($M257:S257),0)</f>
        <v>#REF!</v>
      </c>
      <c r="U257" s="61" t="e">
        <f>IF(U$1&lt;=#REF!,_xll.GetCtData("PKAMOUNT","AMOUNT",$A$1:$A$3,$A257:$B257,U$3:U$5,"#")-SUM($M257:T257),0)</f>
        <v>#REF!</v>
      </c>
      <c r="V257" s="61" t="e">
        <f>IF(V$1&lt;=#REF!,_xll.GetCtData("PKAMOUNT","AMOUNT",$A$1:$A$3,$A257:$B257,V$3:V$5,"#")-SUM($M257:U257),0)</f>
        <v>#REF!</v>
      </c>
      <c r="W257" s="61" t="e">
        <f>IF(W$1&lt;=#REF!,_xll.GetCtData("PKAMOUNT","AMOUNT",$A$1:$A$3,$A257:$B257,W$3:W$5,"#")-SUM($M257:V257),0)</f>
        <v>#REF!</v>
      </c>
      <c r="X257" s="61" t="e">
        <f>IF(X$1&lt;=#REF!,_xll.GetCtData("PKAMOUNT","AMOUNT",$A$1:$A$3,$A257:$B257,X$3:X$5,"#")-SUM($M257:W257),0)</f>
        <v>#REF!</v>
      </c>
      <c r="Y257" s="61">
        <f>_xll.GetCtData("PKAMOUNT","AMOUNT",$A$1:$A$3,$A257:$B257,Y$3:Y$5,"#")</f>
        <v>0</v>
      </c>
      <c r="AA257" s="61" t="e">
        <f>$K257*#REF!/12</f>
        <v>#REF!</v>
      </c>
      <c r="AB257" s="60" t="e">
        <f t="shared" si="173"/>
        <v>#REF!</v>
      </c>
      <c r="AD257" s="61" t="e">
        <f>$L257*#REF!/12</f>
        <v>#REF!</v>
      </c>
      <c r="AE257" s="60" t="e">
        <f t="shared" si="174"/>
        <v>#REF!</v>
      </c>
    </row>
    <row r="258" spans="1:31" ht="18" customHeight="1" x14ac:dyDescent="0.2">
      <c r="A258" s="30" t="s">
        <v>92</v>
      </c>
      <c r="B258" s="30" t="s">
        <v>22</v>
      </c>
      <c r="C258" s="4" t="e">
        <f t="shared" si="171"/>
        <v>#REF!</v>
      </c>
      <c r="D258" s="4" t="e">
        <f t="shared" si="172"/>
        <v>#REF!</v>
      </c>
      <c r="F258" s="106" t="s">
        <v>98</v>
      </c>
      <c r="H258" s="61">
        <f>_xll.GetCtData("PKAMOUNT","AMOUNT",$A$1:$A$3,$A258:$B258,H$3:H$5,"#")</f>
        <v>0</v>
      </c>
      <c r="I258" s="61">
        <f>_xll.GetCtData("PKAMOUNT","AMOUNT",$A$1:$A$3,$A258:$B258,I$3:I$5,"#")</f>
        <v>0</v>
      </c>
      <c r="J258" s="61">
        <f>_xll.GetCtData("PKAMOUNT","AMOUNT",$A$1:$A$3,$A258:$B258,J$3:J$5,"#")</f>
        <v>0</v>
      </c>
      <c r="K258" s="86">
        <f>_xll.GetCtData("PKAMOUNT","AMOUNT",$A$1:$A$3,$A258:$B258,K$3:K$5,"#")</f>
        <v>0</v>
      </c>
      <c r="L258" s="86">
        <f>_xll.GetCtData("PKAMOUNT","AMOUNT",$A$1:$A$3,$A258:$B258,L$3:L$5,"#")</f>
        <v>0</v>
      </c>
      <c r="M258" s="61">
        <f>_xll.GetCtData("PKAMOUNT","AMOUNT",$A$1:$A$3,$A258:$B258,M$3:M$5,"#")</f>
        <v>0</v>
      </c>
      <c r="N258" s="61" t="e">
        <f>IF(N$1&lt;=#REF!,_xll.GetCtData("PKAMOUNT","AMOUNT",$A$1:$A$3,$A258:$B258,N$3:N$5,"#")-SUM($M258:M258),0)</f>
        <v>#REF!</v>
      </c>
      <c r="O258" s="61" t="e">
        <f>IF(O$1&lt;=#REF!,_xll.GetCtData("PKAMOUNT","AMOUNT",$A$1:$A$3,$A258:$B258,O$3:O$5,"#")-SUM($M258:N258),0)</f>
        <v>#REF!</v>
      </c>
      <c r="P258" s="61" t="e">
        <f>IF(P$1&lt;=#REF!,_xll.GetCtData("PKAMOUNT","AMOUNT",$A$1:$A$3,$A258:$B258,P$3:P$5,"#")-SUM($M258:O258),0)</f>
        <v>#REF!</v>
      </c>
      <c r="Q258" s="61" t="e">
        <f>IF(Q$1&lt;=#REF!,_xll.GetCtData("PKAMOUNT","AMOUNT",$A$1:$A$3,$A258:$B258,Q$3:Q$5,"#")-SUM($M258:P258),0)</f>
        <v>#REF!</v>
      </c>
      <c r="R258" s="61" t="e">
        <f>IF(R$1&lt;=#REF!,_xll.GetCtData("PKAMOUNT","AMOUNT",$A$1:$A$3,$A258:$B258,R$3:R$5,"#")-SUM($M258:Q258),0)</f>
        <v>#REF!</v>
      </c>
      <c r="S258" s="61" t="e">
        <f>IF(S$1&lt;=#REF!,_xll.GetCtData("PKAMOUNT","AMOUNT",$A$1:$A$3,$A258:$B258,S$3:S$5,"#")-SUM($M258:R258),0)</f>
        <v>#REF!</v>
      </c>
      <c r="T258" s="61" t="e">
        <f>IF(T$1&lt;=#REF!,_xll.GetCtData("PKAMOUNT","AMOUNT",$A$1:$A$3,$A258:$B258,T$3:T$5,"#")-SUM($M258:S258),0)</f>
        <v>#REF!</v>
      </c>
      <c r="U258" s="61" t="e">
        <f>IF(U$1&lt;=#REF!,_xll.GetCtData("PKAMOUNT","AMOUNT",$A$1:$A$3,$A258:$B258,U$3:U$5,"#")-SUM($M258:T258),0)</f>
        <v>#REF!</v>
      </c>
      <c r="V258" s="61" t="e">
        <f>IF(V$1&lt;=#REF!,_xll.GetCtData("PKAMOUNT","AMOUNT",$A$1:$A$3,$A258:$B258,V$3:V$5,"#")-SUM($M258:U258),0)</f>
        <v>#REF!</v>
      </c>
      <c r="W258" s="61" t="e">
        <f>IF(W$1&lt;=#REF!,_xll.GetCtData("PKAMOUNT","AMOUNT",$A$1:$A$3,$A258:$B258,W$3:W$5,"#")-SUM($M258:V258),0)</f>
        <v>#REF!</v>
      </c>
      <c r="X258" s="61" t="e">
        <f>IF(X$1&lt;=#REF!,_xll.GetCtData("PKAMOUNT","AMOUNT",$A$1:$A$3,$A258:$B258,X$3:X$5,"#")-SUM($M258:W258),0)</f>
        <v>#REF!</v>
      </c>
      <c r="Y258" s="61">
        <f>_xll.GetCtData("PKAMOUNT","AMOUNT",$A$1:$A$3,$A258:$B258,Y$3:Y$5,"#")</f>
        <v>0</v>
      </c>
      <c r="AA258" s="61" t="e">
        <f>$K258*#REF!/12</f>
        <v>#REF!</v>
      </c>
      <c r="AB258" s="60" t="e">
        <f t="shared" si="173"/>
        <v>#REF!</v>
      </c>
      <c r="AD258" s="61" t="e">
        <f>$L258*#REF!/12</f>
        <v>#REF!</v>
      </c>
      <c r="AE258" s="60" t="e">
        <f t="shared" si="174"/>
        <v>#REF!</v>
      </c>
    </row>
    <row r="259" spans="1:31" ht="18" hidden="1" customHeight="1" outlineLevel="1" x14ac:dyDescent="0.2">
      <c r="A259" s="30" t="s">
        <v>172</v>
      </c>
      <c r="B259" s="30" t="s">
        <v>22</v>
      </c>
      <c r="C259" s="4" t="e">
        <f t="shared" si="171"/>
        <v>#REF!</v>
      </c>
      <c r="D259" s="4" t="e">
        <f t="shared" si="172"/>
        <v>#REF!</v>
      </c>
      <c r="F259" s="38" t="s">
        <v>173</v>
      </c>
      <c r="G259" s="34"/>
      <c r="H259" s="66">
        <f>_xll.GetCtData("PKAMOUNT","AMOUNT",$A$1:$A$3,$A259:$B259,H$3:H$5,"#")</f>
        <v>0</v>
      </c>
      <c r="I259" s="66">
        <f>_xll.GetCtData("PKAMOUNT","AMOUNT",$A$1:$A$3,$A259:$B259,I$3:I$5,"#")</f>
        <v>0</v>
      </c>
      <c r="J259" s="66">
        <f>_xll.GetCtData("PKAMOUNT","AMOUNT",$A$1:$A$3,$A259:$B259,J$3:J$5,"#")</f>
        <v>0</v>
      </c>
      <c r="K259" s="86">
        <f>_xll.GetCtData("PKAMOUNT","AMOUNT",$A$1:$A$3,$A259:$B259,K$3:K$5,"#")</f>
        <v>0</v>
      </c>
      <c r="L259" s="86">
        <f>_xll.GetCtData("PKAMOUNT","AMOUNT",$A$1:$A$3,$A259:$B259,L$3:L$5,"#")</f>
        <v>0</v>
      </c>
      <c r="M259" s="66">
        <f>_xll.GetCtData("PKAMOUNT","AMOUNT",$A$1:$A$3,$A259:$B259,M$3:M$5,"#")</f>
        <v>0</v>
      </c>
      <c r="N259" s="66" t="e">
        <f>IF(N$1&lt;=#REF!,_xll.GetCtData("PKAMOUNT","AMOUNT",$A$1:$A$3,$A259:$B259,N$3:N$5,"#")-SUM($M259:M259),0)</f>
        <v>#REF!</v>
      </c>
      <c r="O259" s="66" t="e">
        <f>IF(O$1&lt;=#REF!,_xll.GetCtData("PKAMOUNT","AMOUNT",$A$1:$A$3,$A259:$B259,O$3:O$5,"#")-SUM($M259:N259),0)</f>
        <v>#REF!</v>
      </c>
      <c r="P259" s="66" t="e">
        <f>IF(P$1&lt;=#REF!,_xll.GetCtData("PKAMOUNT","AMOUNT",$A$1:$A$3,$A259:$B259,P$3:P$5,"#")-SUM($M259:O259),0)</f>
        <v>#REF!</v>
      </c>
      <c r="Q259" s="66" t="e">
        <f>IF(Q$1&lt;=#REF!,_xll.GetCtData("PKAMOUNT","AMOUNT",$A$1:$A$3,$A259:$B259,Q$3:Q$5,"#")-SUM($M259:P259),0)</f>
        <v>#REF!</v>
      </c>
      <c r="R259" s="66" t="e">
        <f>IF(R$1&lt;=#REF!,_xll.GetCtData("PKAMOUNT","AMOUNT",$A$1:$A$3,$A259:$B259,R$3:R$5,"#")-SUM($M259:Q259),0)</f>
        <v>#REF!</v>
      </c>
      <c r="S259" s="66" t="e">
        <f>IF(S$1&lt;=#REF!,_xll.GetCtData("PKAMOUNT","AMOUNT",$A$1:$A$3,$A259:$B259,S$3:S$5,"#")-SUM($M259:R259),0)</f>
        <v>#REF!</v>
      </c>
      <c r="T259" s="66" t="e">
        <f>IF(T$1&lt;=#REF!,_xll.GetCtData("PKAMOUNT","AMOUNT",$A$1:$A$3,$A259:$B259,T$3:T$5,"#")-SUM($M259:S259),0)</f>
        <v>#REF!</v>
      </c>
      <c r="U259" s="66" t="e">
        <f>IF(U$1&lt;=#REF!,_xll.GetCtData("PKAMOUNT","AMOUNT",$A$1:$A$3,$A259:$B259,U$3:U$5,"#")-SUM($M259:T259),0)</f>
        <v>#REF!</v>
      </c>
      <c r="V259" s="66" t="e">
        <f>IF(V$1&lt;=#REF!,_xll.GetCtData("PKAMOUNT","AMOUNT",$A$1:$A$3,$A259:$B259,V$3:V$5,"#")-SUM($M259:U259),0)</f>
        <v>#REF!</v>
      </c>
      <c r="W259" s="66" t="e">
        <f>IF(W$1&lt;=#REF!,_xll.GetCtData("PKAMOUNT","AMOUNT",$A$1:$A$3,$A259:$B259,W$3:W$5,"#")-SUM($M259:V259),0)</f>
        <v>#REF!</v>
      </c>
      <c r="X259" s="66" t="e">
        <f>IF(X$1&lt;=#REF!,_xll.GetCtData("PKAMOUNT","AMOUNT",$A$1:$A$3,$A259:$B259,X$3:X$5,"#")-SUM($M259:W259),0)</f>
        <v>#REF!</v>
      </c>
      <c r="Y259" s="66">
        <f>_xll.GetCtData("PKAMOUNT","AMOUNT",$A$1:$A$3,$A259:$B259,Y$3:Y$5,"#")</f>
        <v>0</v>
      </c>
      <c r="Z259" s="34"/>
      <c r="AA259" s="66" t="e">
        <f>$K259*#REF!/12</f>
        <v>#REF!</v>
      </c>
      <c r="AB259" s="60" t="e">
        <f t="shared" si="173"/>
        <v>#REF!</v>
      </c>
      <c r="AC259" s="34"/>
      <c r="AD259" s="66" t="e">
        <f>$L259*#REF!/12</f>
        <v>#REF!</v>
      </c>
      <c r="AE259" s="60" t="e">
        <f t="shared" si="174"/>
        <v>#REF!</v>
      </c>
    </row>
    <row r="260" spans="1:31" ht="18" hidden="1" customHeight="1" outlineLevel="1" x14ac:dyDescent="0.2">
      <c r="A260" s="30" t="s">
        <v>88</v>
      </c>
      <c r="B260" s="30" t="s">
        <v>22</v>
      </c>
      <c r="C260" s="4" t="e">
        <f t="shared" si="171"/>
        <v>#REF!</v>
      </c>
      <c r="D260" s="4" t="e">
        <f t="shared" si="172"/>
        <v>#REF!</v>
      </c>
      <c r="F260" s="38" t="s">
        <v>93</v>
      </c>
      <c r="G260" s="34"/>
      <c r="H260" s="66">
        <f>_xll.GetCtData("PKAMOUNT","AMOUNT",$A$1:$A$3,$A260:$B260,H$3:H$5,"#")</f>
        <v>0</v>
      </c>
      <c r="I260" s="66">
        <f>_xll.GetCtData("PKAMOUNT","AMOUNT",$A$1:$A$3,$A260:$B260,I$3:I$5,"#")</f>
        <v>0</v>
      </c>
      <c r="J260" s="66">
        <f>_xll.GetCtData("PKAMOUNT","AMOUNT",$A$1:$A$3,$A260:$B260,J$3:J$5,"#")</f>
        <v>0</v>
      </c>
      <c r="K260" s="86">
        <f>_xll.GetCtData("PKAMOUNT","AMOUNT",$A$1:$A$3,$A260:$B260,K$3:K$5,"#")</f>
        <v>0</v>
      </c>
      <c r="L260" s="86">
        <f>_xll.GetCtData("PKAMOUNT","AMOUNT",$A$1:$A$3,$A260:$B260,L$3:L$5,"#")</f>
        <v>0</v>
      </c>
      <c r="M260" s="66">
        <f>_xll.GetCtData("PKAMOUNT","AMOUNT",$A$1:$A$3,$A260:$B260,M$3:M$5,"#")</f>
        <v>0</v>
      </c>
      <c r="N260" s="66" t="e">
        <f>IF(N$1&lt;=#REF!,_xll.GetCtData("PKAMOUNT","AMOUNT",$A$1:$A$3,$A260:$B260,N$3:N$5,"#")-SUM($M260:M260),0)</f>
        <v>#REF!</v>
      </c>
      <c r="O260" s="66" t="e">
        <f>IF(O$1&lt;=#REF!,_xll.GetCtData("PKAMOUNT","AMOUNT",$A$1:$A$3,$A260:$B260,O$3:O$5,"#")-SUM($M260:N260),0)</f>
        <v>#REF!</v>
      </c>
      <c r="P260" s="66" t="e">
        <f>IF(P$1&lt;=#REF!,_xll.GetCtData("PKAMOUNT","AMOUNT",$A$1:$A$3,$A260:$B260,P$3:P$5,"#")-SUM($M260:O260),0)</f>
        <v>#REF!</v>
      </c>
      <c r="Q260" s="66" t="e">
        <f>IF(Q$1&lt;=#REF!,_xll.GetCtData("PKAMOUNT","AMOUNT",$A$1:$A$3,$A260:$B260,Q$3:Q$5,"#")-SUM($M260:P260),0)</f>
        <v>#REF!</v>
      </c>
      <c r="R260" s="66" t="e">
        <f>IF(R$1&lt;=#REF!,_xll.GetCtData("PKAMOUNT","AMOUNT",$A$1:$A$3,$A260:$B260,R$3:R$5,"#")-SUM($M260:Q260),0)</f>
        <v>#REF!</v>
      </c>
      <c r="S260" s="66" t="e">
        <f>IF(S$1&lt;=#REF!,_xll.GetCtData("PKAMOUNT","AMOUNT",$A$1:$A$3,$A260:$B260,S$3:S$5,"#")-SUM($M260:R260),0)</f>
        <v>#REF!</v>
      </c>
      <c r="T260" s="66" t="e">
        <f>IF(T$1&lt;=#REF!,_xll.GetCtData("PKAMOUNT","AMOUNT",$A$1:$A$3,$A260:$B260,T$3:T$5,"#")-SUM($M260:S260),0)</f>
        <v>#REF!</v>
      </c>
      <c r="U260" s="66" t="e">
        <f>IF(U$1&lt;=#REF!,_xll.GetCtData("PKAMOUNT","AMOUNT",$A$1:$A$3,$A260:$B260,U$3:U$5,"#")-SUM($M260:T260),0)</f>
        <v>#REF!</v>
      </c>
      <c r="V260" s="66" t="e">
        <f>IF(V$1&lt;=#REF!,_xll.GetCtData("PKAMOUNT","AMOUNT",$A$1:$A$3,$A260:$B260,V$3:V$5,"#")-SUM($M260:U260),0)</f>
        <v>#REF!</v>
      </c>
      <c r="W260" s="66" t="e">
        <f>IF(W$1&lt;=#REF!,_xll.GetCtData("PKAMOUNT","AMOUNT",$A$1:$A$3,$A260:$B260,W$3:W$5,"#")-SUM($M260:V260),0)</f>
        <v>#REF!</v>
      </c>
      <c r="X260" s="66" t="e">
        <f>IF(X$1&lt;=#REF!,_xll.GetCtData("PKAMOUNT","AMOUNT",$A$1:$A$3,$A260:$B260,X$3:X$5,"#")-SUM($M260:W260),0)</f>
        <v>#REF!</v>
      </c>
      <c r="Y260" s="66">
        <f>_xll.GetCtData("PKAMOUNT","AMOUNT",$A$1:$A$3,$A260:$B260,Y$3:Y$5,"#")</f>
        <v>0</v>
      </c>
      <c r="Z260" s="34"/>
      <c r="AA260" s="66" t="e">
        <f>$K260*#REF!/12</f>
        <v>#REF!</v>
      </c>
      <c r="AB260" s="60" t="e">
        <f t="shared" si="173"/>
        <v>#REF!</v>
      </c>
      <c r="AC260" s="34"/>
      <c r="AD260" s="66" t="e">
        <f>$L260*#REF!/12</f>
        <v>#REF!</v>
      </c>
      <c r="AE260" s="60" t="e">
        <f t="shared" si="174"/>
        <v>#REF!</v>
      </c>
    </row>
    <row r="261" spans="1:31" ht="18" hidden="1" customHeight="1" outlineLevel="1" x14ac:dyDescent="0.2">
      <c r="A261" s="30" t="s">
        <v>174</v>
      </c>
      <c r="B261" s="30" t="s">
        <v>22</v>
      </c>
      <c r="C261" s="4" t="e">
        <f t="shared" si="171"/>
        <v>#REF!</v>
      </c>
      <c r="D261" s="4" t="e">
        <f t="shared" si="172"/>
        <v>#REF!</v>
      </c>
      <c r="F261" s="38" t="s">
        <v>175</v>
      </c>
      <c r="G261" s="34"/>
      <c r="H261" s="66">
        <f>_xll.GetCtData("PKAMOUNT","AMOUNT",$A$1:$A$3,$A261:$B261,H$3:H$5,"#")</f>
        <v>0</v>
      </c>
      <c r="I261" s="66">
        <f>_xll.GetCtData("PKAMOUNT","AMOUNT",$A$1:$A$3,$A261:$B261,I$3:I$5,"#")</f>
        <v>0</v>
      </c>
      <c r="J261" s="66">
        <f>_xll.GetCtData("PKAMOUNT","AMOUNT",$A$1:$A$3,$A261:$B261,J$3:J$5,"#")</f>
        <v>0</v>
      </c>
      <c r="K261" s="86">
        <f>_xll.GetCtData("PKAMOUNT","AMOUNT",$A$1:$A$3,$A261:$B261,K$3:K$5,"#")</f>
        <v>0</v>
      </c>
      <c r="L261" s="86">
        <f>_xll.GetCtData("PKAMOUNT","AMOUNT",$A$1:$A$3,$A261:$B261,L$3:L$5,"#")</f>
        <v>0</v>
      </c>
      <c r="M261" s="66">
        <f>_xll.GetCtData("PKAMOUNT","AMOUNT",$A$1:$A$3,$A261:$B261,M$3:M$5,"#")</f>
        <v>0</v>
      </c>
      <c r="N261" s="66" t="e">
        <f>IF(N$1&lt;=#REF!,_xll.GetCtData("PKAMOUNT","AMOUNT",$A$1:$A$3,$A261:$B261,N$3:N$5,"#")-SUM($M261:M261),0)</f>
        <v>#REF!</v>
      </c>
      <c r="O261" s="66" t="e">
        <f>IF(O$1&lt;=#REF!,_xll.GetCtData("PKAMOUNT","AMOUNT",$A$1:$A$3,$A261:$B261,O$3:O$5,"#")-SUM($M261:N261),0)</f>
        <v>#REF!</v>
      </c>
      <c r="P261" s="66" t="e">
        <f>IF(P$1&lt;=#REF!,_xll.GetCtData("PKAMOUNT","AMOUNT",$A$1:$A$3,$A261:$B261,P$3:P$5,"#")-SUM($M261:O261),0)</f>
        <v>#REF!</v>
      </c>
      <c r="Q261" s="66" t="e">
        <f>IF(Q$1&lt;=#REF!,_xll.GetCtData("PKAMOUNT","AMOUNT",$A$1:$A$3,$A261:$B261,Q$3:Q$5,"#")-SUM($M261:P261),0)</f>
        <v>#REF!</v>
      </c>
      <c r="R261" s="66" t="e">
        <f>IF(R$1&lt;=#REF!,_xll.GetCtData("PKAMOUNT","AMOUNT",$A$1:$A$3,$A261:$B261,R$3:R$5,"#")-SUM($M261:Q261),0)</f>
        <v>#REF!</v>
      </c>
      <c r="S261" s="66" t="e">
        <f>IF(S$1&lt;=#REF!,_xll.GetCtData("PKAMOUNT","AMOUNT",$A$1:$A$3,$A261:$B261,S$3:S$5,"#")-SUM($M261:R261),0)</f>
        <v>#REF!</v>
      </c>
      <c r="T261" s="66" t="e">
        <f>IF(T$1&lt;=#REF!,_xll.GetCtData("PKAMOUNT","AMOUNT",$A$1:$A$3,$A261:$B261,T$3:T$5,"#")-SUM($M261:S261),0)</f>
        <v>#REF!</v>
      </c>
      <c r="U261" s="66" t="e">
        <f>IF(U$1&lt;=#REF!,_xll.GetCtData("PKAMOUNT","AMOUNT",$A$1:$A$3,$A261:$B261,U$3:U$5,"#")-SUM($M261:T261),0)</f>
        <v>#REF!</v>
      </c>
      <c r="V261" s="66" t="e">
        <f>IF(V$1&lt;=#REF!,_xll.GetCtData("PKAMOUNT","AMOUNT",$A$1:$A$3,$A261:$B261,V$3:V$5,"#")-SUM($M261:U261),0)</f>
        <v>#REF!</v>
      </c>
      <c r="W261" s="66" t="e">
        <f>IF(W$1&lt;=#REF!,_xll.GetCtData("PKAMOUNT","AMOUNT",$A$1:$A$3,$A261:$B261,W$3:W$5,"#")-SUM($M261:V261),0)</f>
        <v>#REF!</v>
      </c>
      <c r="X261" s="66" t="e">
        <f>IF(X$1&lt;=#REF!,_xll.GetCtData("PKAMOUNT","AMOUNT",$A$1:$A$3,$A261:$B261,X$3:X$5,"#")-SUM($M261:W261),0)</f>
        <v>#REF!</v>
      </c>
      <c r="Y261" s="66">
        <f>_xll.GetCtData("PKAMOUNT","AMOUNT",$A$1:$A$3,$A261:$B261,Y$3:Y$5,"#")</f>
        <v>0</v>
      </c>
      <c r="Z261" s="34"/>
      <c r="AA261" s="66" t="e">
        <f>$K261*#REF!/12</f>
        <v>#REF!</v>
      </c>
      <c r="AB261" s="60" t="e">
        <f t="shared" si="173"/>
        <v>#REF!</v>
      </c>
      <c r="AC261" s="34"/>
      <c r="AD261" s="66" t="e">
        <f>$L261*#REF!/12</f>
        <v>#REF!</v>
      </c>
      <c r="AE261" s="60" t="e">
        <f t="shared" si="174"/>
        <v>#REF!</v>
      </c>
    </row>
    <row r="262" spans="1:31" ht="18" hidden="1" customHeight="1" outlineLevel="1" x14ac:dyDescent="0.2">
      <c r="A262" s="30" t="s">
        <v>191</v>
      </c>
      <c r="B262" s="30" t="s">
        <v>22</v>
      </c>
      <c r="C262" s="4" t="e">
        <f t="shared" si="171"/>
        <v>#REF!</v>
      </c>
      <c r="D262" s="4" t="e">
        <f t="shared" si="172"/>
        <v>#REF!</v>
      </c>
      <c r="F262" s="38" t="s">
        <v>192</v>
      </c>
      <c r="G262" s="34"/>
      <c r="H262" s="66">
        <f>_xll.GetCtData("PKAMOUNT","AMOUNT",$A$1:$A$3,$A262:$B262,H$3:H$5,"#")</f>
        <v>0</v>
      </c>
      <c r="I262" s="66">
        <f>_xll.GetCtData("PKAMOUNT","AMOUNT",$A$1:$A$3,$A262:$B262,I$3:I$5,"#")</f>
        <v>0</v>
      </c>
      <c r="J262" s="66">
        <f>_xll.GetCtData("PKAMOUNT","AMOUNT",$A$1:$A$3,$A262:$B262,J$3:J$5,"#")</f>
        <v>0</v>
      </c>
      <c r="K262" s="86">
        <f>_xll.GetCtData("PKAMOUNT","AMOUNT",$A$1:$A$3,$A262:$B262,K$3:K$5,"#")</f>
        <v>0</v>
      </c>
      <c r="L262" s="86">
        <f>_xll.GetCtData("PKAMOUNT","AMOUNT",$A$1:$A$3,$A262:$B262,L$3:L$5,"#")</f>
        <v>0</v>
      </c>
      <c r="M262" s="66">
        <f>_xll.GetCtData("PKAMOUNT","AMOUNT",$A$1:$A$3,$A262:$B262,M$3:M$5,"#")</f>
        <v>0</v>
      </c>
      <c r="N262" s="66" t="e">
        <f>IF(N$1&lt;=#REF!,_xll.GetCtData("PKAMOUNT","AMOUNT",$A$1:$A$3,$A262:$B262,N$3:N$5,"#")-SUM($M262:M262),0)</f>
        <v>#REF!</v>
      </c>
      <c r="O262" s="66" t="e">
        <f>IF(O$1&lt;=#REF!,_xll.GetCtData("PKAMOUNT","AMOUNT",$A$1:$A$3,$A262:$B262,O$3:O$5,"#")-SUM($M262:N262),0)</f>
        <v>#REF!</v>
      </c>
      <c r="P262" s="66" t="e">
        <f>IF(P$1&lt;=#REF!,_xll.GetCtData("PKAMOUNT","AMOUNT",$A$1:$A$3,$A262:$B262,P$3:P$5,"#")-SUM($M262:O262),0)</f>
        <v>#REF!</v>
      </c>
      <c r="Q262" s="66" t="e">
        <f>IF(Q$1&lt;=#REF!,_xll.GetCtData("PKAMOUNT","AMOUNT",$A$1:$A$3,$A262:$B262,Q$3:Q$5,"#")-SUM($M262:P262),0)</f>
        <v>#REF!</v>
      </c>
      <c r="R262" s="66" t="e">
        <f>IF(R$1&lt;=#REF!,_xll.GetCtData("PKAMOUNT","AMOUNT",$A$1:$A$3,$A262:$B262,R$3:R$5,"#")-SUM($M262:Q262),0)</f>
        <v>#REF!</v>
      </c>
      <c r="S262" s="66" t="e">
        <f>IF(S$1&lt;=#REF!,_xll.GetCtData("PKAMOUNT","AMOUNT",$A$1:$A$3,$A262:$B262,S$3:S$5,"#")-SUM($M262:R262),0)</f>
        <v>#REF!</v>
      </c>
      <c r="T262" s="66" t="e">
        <f>IF(T$1&lt;=#REF!,_xll.GetCtData("PKAMOUNT","AMOUNT",$A$1:$A$3,$A262:$B262,T$3:T$5,"#")-SUM($M262:S262),0)</f>
        <v>#REF!</v>
      </c>
      <c r="U262" s="66" t="e">
        <f>IF(U$1&lt;=#REF!,_xll.GetCtData("PKAMOUNT","AMOUNT",$A$1:$A$3,$A262:$B262,U$3:U$5,"#")-SUM($M262:T262),0)</f>
        <v>#REF!</v>
      </c>
      <c r="V262" s="66" t="e">
        <f>IF(V$1&lt;=#REF!,_xll.GetCtData("PKAMOUNT","AMOUNT",$A$1:$A$3,$A262:$B262,V$3:V$5,"#")-SUM($M262:U262),0)</f>
        <v>#REF!</v>
      </c>
      <c r="W262" s="66" t="e">
        <f>IF(W$1&lt;=#REF!,_xll.GetCtData("PKAMOUNT","AMOUNT",$A$1:$A$3,$A262:$B262,W$3:W$5,"#")-SUM($M262:V262),0)</f>
        <v>#REF!</v>
      </c>
      <c r="X262" s="66" t="e">
        <f>IF(X$1&lt;=#REF!,_xll.GetCtData("PKAMOUNT","AMOUNT",$A$1:$A$3,$A262:$B262,X$3:X$5,"#")-SUM($M262:W262),0)</f>
        <v>#REF!</v>
      </c>
      <c r="Y262" s="66">
        <f>_xll.GetCtData("PKAMOUNT","AMOUNT",$A$1:$A$3,$A262:$B262,Y$3:Y$5,"#")</f>
        <v>0</v>
      </c>
      <c r="Z262" s="34"/>
      <c r="AA262" s="66" t="e">
        <f>$K262*#REF!/12</f>
        <v>#REF!</v>
      </c>
      <c r="AB262" s="60" t="e">
        <f t="shared" si="173"/>
        <v>#REF!</v>
      </c>
      <c r="AC262" s="34"/>
      <c r="AD262" s="66" t="e">
        <f>$L262*#REF!/12</f>
        <v>#REF!</v>
      </c>
      <c r="AE262" s="60" t="e">
        <f t="shared" si="174"/>
        <v>#REF!</v>
      </c>
    </row>
    <row r="263" spans="1:31" ht="18" hidden="1" customHeight="1" outlineLevel="1" x14ac:dyDescent="0.2">
      <c r="A263" s="30" t="s">
        <v>130</v>
      </c>
      <c r="B263" s="30" t="s">
        <v>22</v>
      </c>
      <c r="C263" s="4" t="e">
        <f t="shared" si="171"/>
        <v>#REF!</v>
      </c>
      <c r="D263" s="4" t="e">
        <f t="shared" si="172"/>
        <v>#REF!</v>
      </c>
      <c r="F263" s="38" t="s">
        <v>176</v>
      </c>
      <c r="G263" s="34"/>
      <c r="H263" s="66">
        <f>_xll.GetCtData("PKAMOUNT","AMOUNT",$A$1:$A$3,$A263:$B263,H$3:H$5,"#-4,564")</f>
        <v>-4.5640000000000001</v>
      </c>
      <c r="I263" s="66">
        <f>_xll.GetCtData("PKAMOUNT","AMOUNT",$A$1:$A$3,$A263:$B263,I$3:I$5,"#-4,106")</f>
        <v>-4.1059999999999999</v>
      </c>
      <c r="J263" s="66">
        <f>_xll.GetCtData("PKAMOUNT","AMOUNT",$A$1:$A$3,$A263:$B263,J$3:J$5,"#-4,106")</f>
        <v>-4.1059999999999999</v>
      </c>
      <c r="K263" s="86">
        <f>_xll.GetCtData("PKAMOUNT","AMOUNT",$A$1:$A$3,$A263:$B263,K$3:K$5,"#")</f>
        <v>0</v>
      </c>
      <c r="L263" s="86">
        <f>_xll.GetCtData("PKAMOUNT","AMOUNT",$A$1:$A$3,$A263:$B263,L$3:L$5,"#")</f>
        <v>0</v>
      </c>
      <c r="M263" s="66">
        <f>_xll.GetCtData("PKAMOUNT","AMOUNT",$A$1:$A$3,$A263:$B263,M$3:M$5,"#")</f>
        <v>0</v>
      </c>
      <c r="N263" s="66" t="e">
        <f>IF(N$1&lt;=#REF!,_xll.GetCtData("PKAMOUNT","AMOUNT",$A$1:$A$3,$A263:$B263,N$3:N$5,"#")-SUM($M263:M263),0)</f>
        <v>#REF!</v>
      </c>
      <c r="O263" s="66" t="e">
        <f>IF(O$1&lt;=#REF!,_xll.GetCtData("PKAMOUNT","AMOUNT",$A$1:$A$3,$A263:$B263,O$3:O$5,"#")-SUM($M263:N263),0)</f>
        <v>#REF!</v>
      </c>
      <c r="P263" s="66" t="e">
        <f>IF(P$1&lt;=#REF!,_xll.GetCtData("PKAMOUNT","AMOUNT",$A$1:$A$3,$A263:$B263,P$3:P$5,"#")-SUM($M263:O263),0)</f>
        <v>#REF!</v>
      </c>
      <c r="Q263" s="66" t="e">
        <f>IF(Q$1&lt;=#REF!,_xll.GetCtData("PKAMOUNT","AMOUNT",$A$1:$A$3,$A263:$B263,Q$3:Q$5,"#")-SUM($M263:P263),0)</f>
        <v>#REF!</v>
      </c>
      <c r="R263" s="66" t="e">
        <f>IF(R$1&lt;=#REF!,_xll.GetCtData("PKAMOUNT","AMOUNT",$A$1:$A$3,$A263:$B263,R$3:R$5,"#")-SUM($M263:Q263),0)</f>
        <v>#REF!</v>
      </c>
      <c r="S263" s="66" t="e">
        <f>IF(S$1&lt;=#REF!,_xll.GetCtData("PKAMOUNT","AMOUNT",$A$1:$A$3,$A263:$B263,S$3:S$5,"#")-SUM($M263:R263),0)</f>
        <v>#REF!</v>
      </c>
      <c r="T263" s="66" t="e">
        <f>IF(T$1&lt;=#REF!,_xll.GetCtData("PKAMOUNT","AMOUNT",$A$1:$A$3,$A263:$B263,T$3:T$5,"#")-SUM($M263:S263),0)</f>
        <v>#REF!</v>
      </c>
      <c r="U263" s="66" t="e">
        <f>IF(U$1&lt;=#REF!,_xll.GetCtData("PKAMOUNT","AMOUNT",$A$1:$A$3,$A263:$B263,U$3:U$5,"#")-SUM($M263:T263),0)</f>
        <v>#REF!</v>
      </c>
      <c r="V263" s="66" t="e">
        <f>IF(V$1&lt;=#REF!,_xll.GetCtData("PKAMOUNT","AMOUNT",$A$1:$A$3,$A263:$B263,V$3:V$5,"#")-SUM($M263:U263),0)</f>
        <v>#REF!</v>
      </c>
      <c r="W263" s="66" t="e">
        <f>IF(W$1&lt;=#REF!,_xll.GetCtData("PKAMOUNT","AMOUNT",$A$1:$A$3,$A263:$B263,W$3:W$5,"#")-SUM($M263:V263),0)</f>
        <v>#REF!</v>
      </c>
      <c r="X263" s="66" t="e">
        <f>IF(X$1&lt;=#REF!,_xll.GetCtData("PKAMOUNT","AMOUNT",$A$1:$A$3,$A263:$B263,X$3:X$5,"#")-SUM($M263:W263),0)</f>
        <v>#REF!</v>
      </c>
      <c r="Y263" s="66">
        <f>_xll.GetCtData("PKAMOUNT","AMOUNT",$A$1:$A$3,$A263:$B263,Y$3:Y$5,"#")</f>
        <v>0</v>
      </c>
      <c r="Z263" s="34"/>
      <c r="AA263" s="66" t="e">
        <f>$K263*#REF!/12</f>
        <v>#REF!</v>
      </c>
      <c r="AB263" s="60" t="e">
        <f t="shared" si="173"/>
        <v>#REF!</v>
      </c>
      <c r="AC263" s="34"/>
      <c r="AD263" s="66" t="e">
        <f>$L263*#REF!/12</f>
        <v>#REF!</v>
      </c>
      <c r="AE263" s="60" t="e">
        <f t="shared" si="174"/>
        <v>#REF!</v>
      </c>
    </row>
    <row r="264" spans="1:31" ht="18" hidden="1" customHeight="1" outlineLevel="1" x14ac:dyDescent="0.2">
      <c r="A264" s="30" t="s">
        <v>177</v>
      </c>
      <c r="B264" s="30" t="s">
        <v>22</v>
      </c>
      <c r="C264" s="4" t="e">
        <f t="shared" si="171"/>
        <v>#REF!</v>
      </c>
      <c r="D264" s="4" t="e">
        <f t="shared" si="172"/>
        <v>#REF!</v>
      </c>
      <c r="F264" s="38" t="s">
        <v>178</v>
      </c>
      <c r="G264" s="34"/>
      <c r="H264" s="66">
        <f>_xll.GetCtData("PKAMOUNT","AMOUNT",$A$1:$A$3,$A264:$B264,H$3:H$5,"#")</f>
        <v>0</v>
      </c>
      <c r="I264" s="66">
        <f>_xll.GetCtData("PKAMOUNT","AMOUNT",$A$1:$A$3,$A264:$B264,I$3:I$5,"#")</f>
        <v>0</v>
      </c>
      <c r="J264" s="66">
        <f>_xll.GetCtData("PKAMOUNT","AMOUNT",$A$1:$A$3,$A264:$B264,J$3:J$5,"#")</f>
        <v>0</v>
      </c>
      <c r="K264" s="86">
        <f>_xll.GetCtData("PKAMOUNT","AMOUNT",$A$1:$A$3,$A264:$B264,K$3:K$5,"#")</f>
        <v>0</v>
      </c>
      <c r="L264" s="86">
        <f>_xll.GetCtData("PKAMOUNT","AMOUNT",$A$1:$A$3,$A264:$B264,L$3:L$5,"#")</f>
        <v>0</v>
      </c>
      <c r="M264" s="66">
        <f>_xll.GetCtData("PKAMOUNT","AMOUNT",$A$1:$A$3,$A264:$B264,M$3:M$5,"#")</f>
        <v>0</v>
      </c>
      <c r="N264" s="66" t="e">
        <f>IF(N$1&lt;=#REF!,_xll.GetCtData("PKAMOUNT","AMOUNT",$A$1:$A$3,$A264:$B264,N$3:N$5,"#")-SUM($M264:M264),0)</f>
        <v>#REF!</v>
      </c>
      <c r="O264" s="66" t="e">
        <f>IF(O$1&lt;=#REF!,_xll.GetCtData("PKAMOUNT","AMOUNT",$A$1:$A$3,$A264:$B264,O$3:O$5,"#")-SUM($M264:N264),0)</f>
        <v>#REF!</v>
      </c>
      <c r="P264" s="66" t="e">
        <f>IF(P$1&lt;=#REF!,_xll.GetCtData("PKAMOUNT","AMOUNT",$A$1:$A$3,$A264:$B264,P$3:P$5,"#")-SUM($M264:O264),0)</f>
        <v>#REF!</v>
      </c>
      <c r="Q264" s="66" t="e">
        <f>IF(Q$1&lt;=#REF!,_xll.GetCtData("PKAMOUNT","AMOUNT",$A$1:$A$3,$A264:$B264,Q$3:Q$5,"#")-SUM($M264:P264),0)</f>
        <v>#REF!</v>
      </c>
      <c r="R264" s="66" t="e">
        <f>IF(R$1&lt;=#REF!,_xll.GetCtData("PKAMOUNT","AMOUNT",$A$1:$A$3,$A264:$B264,R$3:R$5,"#")-SUM($M264:Q264),0)</f>
        <v>#REF!</v>
      </c>
      <c r="S264" s="66" t="e">
        <f>IF(S$1&lt;=#REF!,_xll.GetCtData("PKAMOUNT","AMOUNT",$A$1:$A$3,$A264:$B264,S$3:S$5,"#")-SUM($M264:R264),0)</f>
        <v>#REF!</v>
      </c>
      <c r="T264" s="66" t="e">
        <f>IF(T$1&lt;=#REF!,_xll.GetCtData("PKAMOUNT","AMOUNT",$A$1:$A$3,$A264:$B264,T$3:T$5,"#")-SUM($M264:S264),0)</f>
        <v>#REF!</v>
      </c>
      <c r="U264" s="66" t="e">
        <f>IF(U$1&lt;=#REF!,_xll.GetCtData("PKAMOUNT","AMOUNT",$A$1:$A$3,$A264:$B264,U$3:U$5,"#")-SUM($M264:T264),0)</f>
        <v>#REF!</v>
      </c>
      <c r="V264" s="66" t="e">
        <f>IF(V$1&lt;=#REF!,_xll.GetCtData("PKAMOUNT","AMOUNT",$A$1:$A$3,$A264:$B264,V$3:V$5,"#")-SUM($M264:U264),0)</f>
        <v>#REF!</v>
      </c>
      <c r="W264" s="66" t="e">
        <f>IF(W$1&lt;=#REF!,_xll.GetCtData("PKAMOUNT","AMOUNT",$A$1:$A$3,$A264:$B264,W$3:W$5,"#")-SUM($M264:V264),0)</f>
        <v>#REF!</v>
      </c>
      <c r="X264" s="66" t="e">
        <f>IF(X$1&lt;=#REF!,_xll.GetCtData("PKAMOUNT","AMOUNT",$A$1:$A$3,$A264:$B264,X$3:X$5,"#")-SUM($M264:W264),0)</f>
        <v>#REF!</v>
      </c>
      <c r="Y264" s="66">
        <f>_xll.GetCtData("PKAMOUNT","AMOUNT",$A$1:$A$3,$A264:$B264,Y$3:Y$5,"#")</f>
        <v>0</v>
      </c>
      <c r="Z264" s="34"/>
      <c r="AA264" s="66" t="e">
        <f>$K264*#REF!/12</f>
        <v>#REF!</v>
      </c>
      <c r="AB264" s="60" t="e">
        <f t="shared" si="173"/>
        <v>#REF!</v>
      </c>
      <c r="AC264" s="34"/>
      <c r="AD264" s="66" t="e">
        <f>$L264*#REF!/12</f>
        <v>#REF!</v>
      </c>
      <c r="AE264" s="60" t="e">
        <f t="shared" si="174"/>
        <v>#REF!</v>
      </c>
    </row>
    <row r="265" spans="1:31" ht="18" hidden="1" customHeight="1" outlineLevel="1" x14ac:dyDescent="0.2">
      <c r="A265" s="30" t="s">
        <v>179</v>
      </c>
      <c r="B265" s="30" t="s">
        <v>22</v>
      </c>
      <c r="C265" s="4" t="e">
        <f t="shared" si="171"/>
        <v>#REF!</v>
      </c>
      <c r="D265" s="4" t="e">
        <f t="shared" si="172"/>
        <v>#REF!</v>
      </c>
      <c r="F265" s="38" t="s">
        <v>180</v>
      </c>
      <c r="G265" s="34"/>
      <c r="H265" s="66">
        <f>_xll.GetCtData("PKAMOUNT","AMOUNT",$A$1:$A$3,$A265:$B265,H$3:H$5,"#")</f>
        <v>0</v>
      </c>
      <c r="I265" s="66">
        <f>_xll.GetCtData("PKAMOUNT","AMOUNT",$A$1:$A$3,$A265:$B265,I$3:I$5,"#")</f>
        <v>0</v>
      </c>
      <c r="J265" s="66">
        <f>_xll.GetCtData("PKAMOUNT","AMOUNT",$A$1:$A$3,$A265:$B265,J$3:J$5,"#")</f>
        <v>0</v>
      </c>
      <c r="K265" s="86">
        <f>_xll.GetCtData("PKAMOUNT","AMOUNT",$A$1:$A$3,$A265:$B265,K$3:K$5,"#")</f>
        <v>0</v>
      </c>
      <c r="L265" s="86">
        <f>_xll.GetCtData("PKAMOUNT","AMOUNT",$A$1:$A$3,$A265:$B265,L$3:L$5,"#")</f>
        <v>0</v>
      </c>
      <c r="M265" s="66">
        <f>_xll.GetCtData("PKAMOUNT","AMOUNT",$A$1:$A$3,$A265:$B265,M$3:M$5,"#")</f>
        <v>0</v>
      </c>
      <c r="N265" s="66" t="e">
        <f>IF(N$1&lt;=#REF!,_xll.GetCtData("PKAMOUNT","AMOUNT",$A$1:$A$3,$A265:$B265,N$3:N$5,"#")-SUM($M265:M265),0)</f>
        <v>#REF!</v>
      </c>
      <c r="O265" s="66" t="e">
        <f>IF(O$1&lt;=#REF!,_xll.GetCtData("PKAMOUNT","AMOUNT",$A$1:$A$3,$A265:$B265,O$3:O$5,"#")-SUM($M265:N265),0)</f>
        <v>#REF!</v>
      </c>
      <c r="P265" s="66" t="e">
        <f>IF(P$1&lt;=#REF!,_xll.GetCtData("PKAMOUNT","AMOUNT",$A$1:$A$3,$A265:$B265,P$3:P$5,"#")-SUM($M265:O265),0)</f>
        <v>#REF!</v>
      </c>
      <c r="Q265" s="66" t="e">
        <f>IF(Q$1&lt;=#REF!,_xll.GetCtData("PKAMOUNT","AMOUNT",$A$1:$A$3,$A265:$B265,Q$3:Q$5,"#")-SUM($M265:P265),0)</f>
        <v>#REF!</v>
      </c>
      <c r="R265" s="66" t="e">
        <f>IF(R$1&lt;=#REF!,_xll.GetCtData("PKAMOUNT","AMOUNT",$A$1:$A$3,$A265:$B265,R$3:R$5,"#")-SUM($M265:Q265),0)</f>
        <v>#REF!</v>
      </c>
      <c r="S265" s="66" t="e">
        <f>IF(S$1&lt;=#REF!,_xll.GetCtData("PKAMOUNT","AMOUNT",$A$1:$A$3,$A265:$B265,S$3:S$5,"#")-SUM($M265:R265),0)</f>
        <v>#REF!</v>
      </c>
      <c r="T265" s="66" t="e">
        <f>IF(T$1&lt;=#REF!,_xll.GetCtData("PKAMOUNT","AMOUNT",$A$1:$A$3,$A265:$B265,T$3:T$5,"#")-SUM($M265:S265),0)</f>
        <v>#REF!</v>
      </c>
      <c r="U265" s="66" t="e">
        <f>IF(U$1&lt;=#REF!,_xll.GetCtData("PKAMOUNT","AMOUNT",$A$1:$A$3,$A265:$B265,U$3:U$5,"#")-SUM($M265:T265),0)</f>
        <v>#REF!</v>
      </c>
      <c r="V265" s="66" t="e">
        <f>IF(V$1&lt;=#REF!,_xll.GetCtData("PKAMOUNT","AMOUNT",$A$1:$A$3,$A265:$B265,V$3:V$5,"#")-SUM($M265:U265),0)</f>
        <v>#REF!</v>
      </c>
      <c r="W265" s="66" t="e">
        <f>IF(W$1&lt;=#REF!,_xll.GetCtData("PKAMOUNT","AMOUNT",$A$1:$A$3,$A265:$B265,W$3:W$5,"#")-SUM($M265:V265),0)</f>
        <v>#REF!</v>
      </c>
      <c r="X265" s="66" t="e">
        <f>IF(X$1&lt;=#REF!,_xll.GetCtData("PKAMOUNT","AMOUNT",$A$1:$A$3,$A265:$B265,X$3:X$5,"#")-SUM($M265:W265),0)</f>
        <v>#REF!</v>
      </c>
      <c r="Y265" s="66">
        <f>_xll.GetCtData("PKAMOUNT","AMOUNT",$A$1:$A$3,$A265:$B265,Y$3:Y$5,"#")</f>
        <v>0</v>
      </c>
      <c r="Z265" s="34"/>
      <c r="AA265" s="66" t="e">
        <f>$K265*#REF!/12</f>
        <v>#REF!</v>
      </c>
      <c r="AB265" s="60" t="e">
        <f t="shared" si="173"/>
        <v>#REF!</v>
      </c>
      <c r="AC265" s="34"/>
      <c r="AD265" s="66" t="e">
        <f>$L265*#REF!/12</f>
        <v>#REF!</v>
      </c>
      <c r="AE265" s="60" t="e">
        <f t="shared" si="174"/>
        <v>#REF!</v>
      </c>
    </row>
    <row r="266" spans="1:31" ht="18" hidden="1" customHeight="1" outlineLevel="1" x14ac:dyDescent="0.2">
      <c r="A266" s="30" t="s">
        <v>89</v>
      </c>
      <c r="B266" s="30" t="s">
        <v>22</v>
      </c>
      <c r="C266" s="4" t="e">
        <f t="shared" si="171"/>
        <v>#REF!</v>
      </c>
      <c r="D266" s="4" t="e">
        <f t="shared" si="172"/>
        <v>#REF!</v>
      </c>
      <c r="F266" s="38" t="s">
        <v>187</v>
      </c>
      <c r="G266" s="34"/>
      <c r="H266" s="66">
        <f>_xll.GetCtData("PKAMOUNT","AMOUNT",$A$1:$A$3,$A266:$B266,H$3:H$5,"#")</f>
        <v>0</v>
      </c>
      <c r="I266" s="66">
        <f>_xll.GetCtData("PKAMOUNT","AMOUNT",$A$1:$A$3,$A266:$B266,I$3:I$5,"#")</f>
        <v>0</v>
      </c>
      <c r="J266" s="66">
        <f>_xll.GetCtData("PKAMOUNT","AMOUNT",$A$1:$A$3,$A266:$B266,J$3:J$5,"#")</f>
        <v>0</v>
      </c>
      <c r="K266" s="86">
        <f>_xll.GetCtData("PKAMOUNT","AMOUNT",$A$1:$A$3,$A266:$B266,K$3:K$5,"#")</f>
        <v>0</v>
      </c>
      <c r="L266" s="86">
        <f>_xll.GetCtData("PKAMOUNT","AMOUNT",$A$1:$A$3,$A266:$B266,L$3:L$5,"#")</f>
        <v>0</v>
      </c>
      <c r="M266" s="66">
        <f>_xll.GetCtData("PKAMOUNT","AMOUNT",$A$1:$A$3,$A266:$B266,M$3:M$5,"#")</f>
        <v>0</v>
      </c>
      <c r="N266" s="66" t="e">
        <f>IF(N$1&lt;=#REF!,_xll.GetCtData("PKAMOUNT","AMOUNT",$A$1:$A$3,$A266:$B266,N$3:N$5,"#")-SUM($M266:M266),0)</f>
        <v>#REF!</v>
      </c>
      <c r="O266" s="66" t="e">
        <f>IF(O$1&lt;=#REF!,_xll.GetCtData("PKAMOUNT","AMOUNT",$A$1:$A$3,$A266:$B266,O$3:O$5,"#")-SUM($M266:N266),0)</f>
        <v>#REF!</v>
      </c>
      <c r="P266" s="66" t="e">
        <f>IF(P$1&lt;=#REF!,_xll.GetCtData("PKAMOUNT","AMOUNT",$A$1:$A$3,$A266:$B266,P$3:P$5,"#")-SUM($M266:O266),0)</f>
        <v>#REF!</v>
      </c>
      <c r="Q266" s="66" t="e">
        <f>IF(Q$1&lt;=#REF!,_xll.GetCtData("PKAMOUNT","AMOUNT",$A$1:$A$3,$A266:$B266,Q$3:Q$5,"#")-SUM($M266:P266),0)</f>
        <v>#REF!</v>
      </c>
      <c r="R266" s="66" t="e">
        <f>IF(R$1&lt;=#REF!,_xll.GetCtData("PKAMOUNT","AMOUNT",$A$1:$A$3,$A266:$B266,R$3:R$5,"#")-SUM($M266:Q266),0)</f>
        <v>#REF!</v>
      </c>
      <c r="S266" s="66" t="e">
        <f>IF(S$1&lt;=#REF!,_xll.GetCtData("PKAMOUNT","AMOUNT",$A$1:$A$3,$A266:$B266,S$3:S$5,"#")-SUM($M266:R266),0)</f>
        <v>#REF!</v>
      </c>
      <c r="T266" s="66" t="e">
        <f>IF(T$1&lt;=#REF!,_xll.GetCtData("PKAMOUNT","AMOUNT",$A$1:$A$3,$A266:$B266,T$3:T$5,"#")-SUM($M266:S266),0)</f>
        <v>#REF!</v>
      </c>
      <c r="U266" s="66" t="e">
        <f>IF(U$1&lt;=#REF!,_xll.GetCtData("PKAMOUNT","AMOUNT",$A$1:$A$3,$A266:$B266,U$3:U$5,"#")-SUM($M266:T266),0)</f>
        <v>#REF!</v>
      </c>
      <c r="V266" s="66" t="e">
        <f>IF(V$1&lt;=#REF!,_xll.GetCtData("PKAMOUNT","AMOUNT",$A$1:$A$3,$A266:$B266,V$3:V$5,"#")-SUM($M266:U266),0)</f>
        <v>#REF!</v>
      </c>
      <c r="W266" s="66" t="e">
        <f>IF(W$1&lt;=#REF!,_xll.GetCtData("PKAMOUNT","AMOUNT",$A$1:$A$3,$A266:$B266,W$3:W$5,"#")-SUM($M266:V266),0)</f>
        <v>#REF!</v>
      </c>
      <c r="X266" s="66" t="e">
        <f>IF(X$1&lt;=#REF!,_xll.GetCtData("PKAMOUNT","AMOUNT",$A$1:$A$3,$A266:$B266,X$3:X$5,"#")-SUM($M266:W266),0)</f>
        <v>#REF!</v>
      </c>
      <c r="Y266" s="66">
        <f>_xll.GetCtData("PKAMOUNT","AMOUNT",$A$1:$A$3,$A266:$B266,Y$3:Y$5,"#")</f>
        <v>0</v>
      </c>
      <c r="Z266" s="34"/>
      <c r="AA266" s="66" t="e">
        <f>$K266*#REF!/12</f>
        <v>#REF!</v>
      </c>
      <c r="AB266" s="60" t="e">
        <f t="shared" si="173"/>
        <v>#REF!</v>
      </c>
      <c r="AC266" s="34"/>
      <c r="AD266" s="66" t="e">
        <f>$L266*#REF!/12</f>
        <v>#REF!</v>
      </c>
      <c r="AE266" s="60" t="e">
        <f t="shared" si="174"/>
        <v>#REF!</v>
      </c>
    </row>
    <row r="267" spans="1:31" ht="18" hidden="1" customHeight="1" outlineLevel="1" x14ac:dyDescent="0.2">
      <c r="A267" s="30" t="s">
        <v>193</v>
      </c>
      <c r="B267" s="30" t="s">
        <v>22</v>
      </c>
      <c r="C267" s="4" t="e">
        <f t="shared" si="171"/>
        <v>#REF!</v>
      </c>
      <c r="D267" s="4" t="e">
        <f t="shared" si="172"/>
        <v>#REF!</v>
      </c>
      <c r="F267" s="38" t="s">
        <v>194</v>
      </c>
      <c r="G267" s="34"/>
      <c r="H267" s="66">
        <f>_xll.GetCtData("PKAMOUNT","AMOUNT",$A$1:$A$3,$A267:$B267,H$3:H$5,"#")</f>
        <v>0</v>
      </c>
      <c r="I267" s="66">
        <f>_xll.GetCtData("PKAMOUNT","AMOUNT",$A$1:$A$3,$A267:$B267,I$3:I$5,"#")</f>
        <v>0</v>
      </c>
      <c r="J267" s="66">
        <f>_xll.GetCtData("PKAMOUNT","AMOUNT",$A$1:$A$3,$A267:$B267,J$3:J$5,"#")</f>
        <v>0</v>
      </c>
      <c r="K267" s="86">
        <f>_xll.GetCtData("PKAMOUNT","AMOUNT",$A$1:$A$3,$A267:$B267,K$3:K$5,"#")</f>
        <v>0</v>
      </c>
      <c r="L267" s="86">
        <f>_xll.GetCtData("PKAMOUNT","AMOUNT",$A$1:$A$3,$A267:$B267,L$3:L$5,"#")</f>
        <v>0</v>
      </c>
      <c r="M267" s="66">
        <f>_xll.GetCtData("PKAMOUNT","AMOUNT",$A$1:$A$3,$A267:$B267,M$3:M$5,"#")</f>
        <v>0</v>
      </c>
      <c r="N267" s="66" t="e">
        <f>IF(N$1&lt;=#REF!,_xll.GetCtData("PKAMOUNT","AMOUNT",$A$1:$A$3,$A267:$B267,N$3:N$5,"#")-SUM($M267:M267),0)</f>
        <v>#REF!</v>
      </c>
      <c r="O267" s="66" t="e">
        <f>IF(O$1&lt;=#REF!,_xll.GetCtData("PKAMOUNT","AMOUNT",$A$1:$A$3,$A267:$B267,O$3:O$5,"#")-SUM($M267:N267),0)</f>
        <v>#REF!</v>
      </c>
      <c r="P267" s="66" t="e">
        <f>IF(P$1&lt;=#REF!,_xll.GetCtData("PKAMOUNT","AMOUNT",$A$1:$A$3,$A267:$B267,P$3:P$5,"#")-SUM($M267:O267),0)</f>
        <v>#REF!</v>
      </c>
      <c r="Q267" s="66" t="e">
        <f>IF(Q$1&lt;=#REF!,_xll.GetCtData("PKAMOUNT","AMOUNT",$A$1:$A$3,$A267:$B267,Q$3:Q$5,"#")-SUM($M267:P267),0)</f>
        <v>#REF!</v>
      </c>
      <c r="R267" s="66" t="e">
        <f>IF(R$1&lt;=#REF!,_xll.GetCtData("PKAMOUNT","AMOUNT",$A$1:$A$3,$A267:$B267,R$3:R$5,"#")-SUM($M267:Q267),0)</f>
        <v>#REF!</v>
      </c>
      <c r="S267" s="66" t="e">
        <f>IF(S$1&lt;=#REF!,_xll.GetCtData("PKAMOUNT","AMOUNT",$A$1:$A$3,$A267:$B267,S$3:S$5,"#")-SUM($M267:R267),0)</f>
        <v>#REF!</v>
      </c>
      <c r="T267" s="66" t="e">
        <f>IF(T$1&lt;=#REF!,_xll.GetCtData("PKAMOUNT","AMOUNT",$A$1:$A$3,$A267:$B267,T$3:T$5,"#")-SUM($M267:S267),0)</f>
        <v>#REF!</v>
      </c>
      <c r="U267" s="66" t="e">
        <f>IF(U$1&lt;=#REF!,_xll.GetCtData("PKAMOUNT","AMOUNT",$A$1:$A$3,$A267:$B267,U$3:U$5,"#")-SUM($M267:T267),0)</f>
        <v>#REF!</v>
      </c>
      <c r="V267" s="66" t="e">
        <f>IF(V$1&lt;=#REF!,_xll.GetCtData("PKAMOUNT","AMOUNT",$A$1:$A$3,$A267:$B267,V$3:V$5,"#")-SUM($M267:U267),0)</f>
        <v>#REF!</v>
      </c>
      <c r="W267" s="66" t="e">
        <f>IF(W$1&lt;=#REF!,_xll.GetCtData("PKAMOUNT","AMOUNT",$A$1:$A$3,$A267:$B267,W$3:W$5,"#")-SUM($M267:V267),0)</f>
        <v>#REF!</v>
      </c>
      <c r="X267" s="66" t="e">
        <f>IF(X$1&lt;=#REF!,_xll.GetCtData("PKAMOUNT","AMOUNT",$A$1:$A$3,$A267:$B267,X$3:X$5,"#")-SUM($M267:W267),0)</f>
        <v>#REF!</v>
      </c>
      <c r="Y267" s="66">
        <f>_xll.GetCtData("PKAMOUNT","AMOUNT",$A$1:$A$3,$A267:$B267,Y$3:Y$5,"#")</f>
        <v>0</v>
      </c>
      <c r="Z267" s="34"/>
      <c r="AA267" s="66" t="e">
        <f>$K267*#REF!/12</f>
        <v>#REF!</v>
      </c>
      <c r="AB267" s="60" t="e">
        <f t="shared" si="173"/>
        <v>#REF!</v>
      </c>
      <c r="AC267" s="34"/>
      <c r="AD267" s="66" t="e">
        <f>$L267*#REF!/12</f>
        <v>#REF!</v>
      </c>
      <c r="AE267" s="60" t="e">
        <f t="shared" si="174"/>
        <v>#REF!</v>
      </c>
    </row>
    <row r="268" spans="1:31" ht="18" hidden="1" customHeight="1" outlineLevel="1" x14ac:dyDescent="0.2">
      <c r="A268" s="30" t="s">
        <v>127</v>
      </c>
      <c r="B268" s="30" t="s">
        <v>22</v>
      </c>
      <c r="C268" s="4" t="e">
        <f t="shared" si="171"/>
        <v>#REF!</v>
      </c>
      <c r="D268" s="4" t="e">
        <f t="shared" si="172"/>
        <v>#REF!</v>
      </c>
      <c r="F268" s="38" t="s">
        <v>128</v>
      </c>
      <c r="G268" s="34"/>
      <c r="H268" s="66">
        <f>_xll.GetCtData("PKAMOUNT","AMOUNT",$A$1:$A$3,$A268:$B268,H$3:H$5,"#")</f>
        <v>0</v>
      </c>
      <c r="I268" s="66">
        <f>_xll.GetCtData("PKAMOUNT","AMOUNT",$A$1:$A$3,$A268:$B268,I$3:I$5,"#")</f>
        <v>0</v>
      </c>
      <c r="J268" s="66">
        <f>_xll.GetCtData("PKAMOUNT","AMOUNT",$A$1:$A$3,$A268:$B268,J$3:J$5,"#")</f>
        <v>0</v>
      </c>
      <c r="K268" s="86">
        <f>_xll.GetCtData("PKAMOUNT","AMOUNT",$A$1:$A$3,$A268:$B268,K$3:K$5,"#")</f>
        <v>0</v>
      </c>
      <c r="L268" s="86">
        <f>_xll.GetCtData("PKAMOUNT","AMOUNT",$A$1:$A$3,$A268:$B268,L$3:L$5,"#")</f>
        <v>0</v>
      </c>
      <c r="M268" s="66">
        <f>_xll.GetCtData("PKAMOUNT","AMOUNT",$A$1:$A$3,$A268:$B268,M$3:M$5,"#")</f>
        <v>0</v>
      </c>
      <c r="N268" s="66" t="e">
        <f>IF(N$1&lt;=#REF!,_xll.GetCtData("PKAMOUNT","AMOUNT",$A$1:$A$3,$A268:$B268,N$3:N$5,"#")-SUM($M268:M268),0)</f>
        <v>#REF!</v>
      </c>
      <c r="O268" s="66" t="e">
        <f>IF(O$1&lt;=#REF!,_xll.GetCtData("PKAMOUNT","AMOUNT",$A$1:$A$3,$A268:$B268,O$3:O$5,"#")-SUM($M268:N268),0)</f>
        <v>#REF!</v>
      </c>
      <c r="P268" s="66" t="e">
        <f>IF(P$1&lt;=#REF!,_xll.GetCtData("PKAMOUNT","AMOUNT",$A$1:$A$3,$A268:$B268,P$3:P$5,"#")-SUM($M268:O268),0)</f>
        <v>#REF!</v>
      </c>
      <c r="Q268" s="66" t="e">
        <f>IF(Q$1&lt;=#REF!,_xll.GetCtData("PKAMOUNT","AMOUNT",$A$1:$A$3,$A268:$B268,Q$3:Q$5,"#")-SUM($M268:P268),0)</f>
        <v>#REF!</v>
      </c>
      <c r="R268" s="66" t="e">
        <f>IF(R$1&lt;=#REF!,_xll.GetCtData("PKAMOUNT","AMOUNT",$A$1:$A$3,$A268:$B268,R$3:R$5,"#")-SUM($M268:Q268),0)</f>
        <v>#REF!</v>
      </c>
      <c r="S268" s="66" t="e">
        <f>IF(S$1&lt;=#REF!,_xll.GetCtData("PKAMOUNT","AMOUNT",$A$1:$A$3,$A268:$B268,S$3:S$5,"#")-SUM($M268:R268),0)</f>
        <v>#REF!</v>
      </c>
      <c r="T268" s="66" t="e">
        <f>IF(T$1&lt;=#REF!,_xll.GetCtData("PKAMOUNT","AMOUNT",$A$1:$A$3,$A268:$B268,T$3:T$5,"#")-SUM($M268:S268),0)</f>
        <v>#REF!</v>
      </c>
      <c r="U268" s="66" t="e">
        <f>IF(U$1&lt;=#REF!,_xll.GetCtData("PKAMOUNT","AMOUNT",$A$1:$A$3,$A268:$B268,U$3:U$5,"#")-SUM($M268:T268),0)</f>
        <v>#REF!</v>
      </c>
      <c r="V268" s="66" t="e">
        <f>IF(V$1&lt;=#REF!,_xll.GetCtData("PKAMOUNT","AMOUNT",$A$1:$A$3,$A268:$B268,V$3:V$5,"#")-SUM($M268:U268),0)</f>
        <v>#REF!</v>
      </c>
      <c r="W268" s="66" t="e">
        <f>IF(W$1&lt;=#REF!,_xll.GetCtData("PKAMOUNT","AMOUNT",$A$1:$A$3,$A268:$B268,W$3:W$5,"#")-SUM($M268:V268),0)</f>
        <v>#REF!</v>
      </c>
      <c r="X268" s="66" t="e">
        <f>IF(X$1&lt;=#REF!,_xll.GetCtData("PKAMOUNT","AMOUNT",$A$1:$A$3,$A268:$B268,X$3:X$5,"#")-SUM($M268:W268),0)</f>
        <v>#REF!</v>
      </c>
      <c r="Y268" s="66">
        <f>_xll.GetCtData("PKAMOUNT","AMOUNT",$A$1:$A$3,$A268:$B268,Y$3:Y$5,"#")</f>
        <v>0</v>
      </c>
      <c r="Z268" s="34"/>
      <c r="AA268" s="66" t="e">
        <f>$K268*#REF!/12</f>
        <v>#REF!</v>
      </c>
      <c r="AB268" s="60" t="e">
        <f t="shared" si="173"/>
        <v>#REF!</v>
      </c>
      <c r="AC268" s="34"/>
      <c r="AD268" s="66" t="e">
        <f>$L268*#REF!/12</f>
        <v>#REF!</v>
      </c>
      <c r="AE268" s="60" t="e">
        <f t="shared" si="174"/>
        <v>#REF!</v>
      </c>
    </row>
    <row r="269" spans="1:31" ht="18" hidden="1" customHeight="1" outlineLevel="1" x14ac:dyDescent="0.2">
      <c r="A269" s="30" t="s">
        <v>261</v>
      </c>
      <c r="B269" s="30" t="s">
        <v>22</v>
      </c>
      <c r="C269" s="4" t="e">
        <f t="shared" si="171"/>
        <v>#REF!</v>
      </c>
      <c r="D269" s="4" t="e">
        <f t="shared" si="172"/>
        <v>#REF!</v>
      </c>
      <c r="F269" s="38" t="s">
        <v>262</v>
      </c>
      <c r="G269" s="34"/>
      <c r="H269" s="66">
        <f>_xll.GetCtData("PKAMOUNT","AMOUNT",$A$1:$A$3,$A269:$B269,H$3:H$5,"#")</f>
        <v>0</v>
      </c>
      <c r="I269" s="66">
        <f>_xll.GetCtData("PKAMOUNT","AMOUNT",$A$1:$A$3,$A269:$B269,I$3:I$5,"#")</f>
        <v>0</v>
      </c>
      <c r="J269" s="66">
        <f>_xll.GetCtData("PKAMOUNT","AMOUNT",$A$1:$A$3,$A269:$B269,J$3:J$5,"#")</f>
        <v>0</v>
      </c>
      <c r="K269" s="86">
        <f>_xll.GetCtData("PKAMOUNT","AMOUNT",$A$1:$A$3,$A269:$B269,K$3:K$5,"#")</f>
        <v>0</v>
      </c>
      <c r="L269" s="86">
        <f>_xll.GetCtData("PKAMOUNT","AMOUNT",$A$1:$A$3,$A269:$B269,L$3:L$5,"#")</f>
        <v>0</v>
      </c>
      <c r="M269" s="66">
        <f>_xll.GetCtData("PKAMOUNT","AMOUNT",$A$1:$A$3,$A269:$B269,M$3:M$5,"#")</f>
        <v>0</v>
      </c>
      <c r="N269" s="66" t="e">
        <f>IF(N$1&lt;=#REF!,_xll.GetCtData("PKAMOUNT","AMOUNT",$A$1:$A$3,$A269:$B269,N$3:N$5,"#")-SUM($M269:M269),0)</f>
        <v>#REF!</v>
      </c>
      <c r="O269" s="66" t="e">
        <f>IF(O$1&lt;=#REF!,_xll.GetCtData("PKAMOUNT","AMOUNT",$A$1:$A$3,$A269:$B269,O$3:O$5,"#")-SUM($M269:N269),0)</f>
        <v>#REF!</v>
      </c>
      <c r="P269" s="66" t="e">
        <f>IF(P$1&lt;=#REF!,_xll.GetCtData("PKAMOUNT","AMOUNT",$A$1:$A$3,$A269:$B269,P$3:P$5,"#")-SUM($M269:O269),0)</f>
        <v>#REF!</v>
      </c>
      <c r="Q269" s="66" t="e">
        <f>IF(Q$1&lt;=#REF!,_xll.GetCtData("PKAMOUNT","AMOUNT",$A$1:$A$3,$A269:$B269,Q$3:Q$5,"#")-SUM($M269:P269),0)</f>
        <v>#REF!</v>
      </c>
      <c r="R269" s="66" t="e">
        <f>IF(R$1&lt;=#REF!,_xll.GetCtData("PKAMOUNT","AMOUNT",$A$1:$A$3,$A269:$B269,R$3:R$5,"#")-SUM($M269:Q269),0)</f>
        <v>#REF!</v>
      </c>
      <c r="S269" s="66" t="e">
        <f>IF(S$1&lt;=#REF!,_xll.GetCtData("PKAMOUNT","AMOUNT",$A$1:$A$3,$A269:$B269,S$3:S$5,"#")-SUM($M269:R269),0)</f>
        <v>#REF!</v>
      </c>
      <c r="T269" s="66" t="e">
        <f>IF(T$1&lt;=#REF!,_xll.GetCtData("PKAMOUNT","AMOUNT",$A$1:$A$3,$A269:$B269,T$3:T$5,"#")-SUM($M269:S269),0)</f>
        <v>#REF!</v>
      </c>
      <c r="U269" s="66" t="e">
        <f>IF(U$1&lt;=#REF!,_xll.GetCtData("PKAMOUNT","AMOUNT",$A$1:$A$3,$A269:$B269,U$3:U$5,"#")-SUM($M269:T269),0)</f>
        <v>#REF!</v>
      </c>
      <c r="V269" s="66" t="e">
        <f>IF(V$1&lt;=#REF!,_xll.GetCtData("PKAMOUNT","AMOUNT",$A$1:$A$3,$A269:$B269,V$3:V$5,"#")-SUM($M269:U269),0)</f>
        <v>#REF!</v>
      </c>
      <c r="W269" s="66" t="e">
        <f>IF(W$1&lt;=#REF!,_xll.GetCtData("PKAMOUNT","AMOUNT",$A$1:$A$3,$A269:$B269,W$3:W$5,"#")-SUM($M269:V269),0)</f>
        <v>#REF!</v>
      </c>
      <c r="X269" s="66" t="e">
        <f>IF(X$1&lt;=#REF!,_xll.GetCtData("PKAMOUNT","AMOUNT",$A$1:$A$3,$A269:$B269,X$3:X$5,"#")-SUM($M269:W269),0)</f>
        <v>#REF!</v>
      </c>
      <c r="Y269" s="66">
        <f>_xll.GetCtData("PKAMOUNT","AMOUNT",$A$1:$A$3,$A269:$B269,Y$3:Y$5,"#")</f>
        <v>0</v>
      </c>
      <c r="Z269" s="34"/>
      <c r="AA269" s="66" t="e">
        <f>$K269*#REF!/12</f>
        <v>#REF!</v>
      </c>
      <c r="AB269" s="60" t="e">
        <f t="shared" si="173"/>
        <v>#REF!</v>
      </c>
      <c r="AC269" s="34"/>
      <c r="AD269" s="66" t="e">
        <f>$L269*#REF!/12</f>
        <v>#REF!</v>
      </c>
      <c r="AE269" s="60" t="e">
        <f t="shared" si="174"/>
        <v>#REF!</v>
      </c>
    </row>
    <row r="270" spans="1:31" ht="18" hidden="1" customHeight="1" outlineLevel="1" x14ac:dyDescent="0.2">
      <c r="A270" s="30" t="s">
        <v>263</v>
      </c>
      <c r="B270" s="30" t="s">
        <v>22</v>
      </c>
      <c r="C270" s="4" t="e">
        <f t="shared" si="171"/>
        <v>#REF!</v>
      </c>
      <c r="D270" s="4" t="e">
        <f t="shared" si="172"/>
        <v>#REF!</v>
      </c>
      <c r="F270" s="38" t="s">
        <v>264</v>
      </c>
      <c r="G270" s="34"/>
      <c r="H270" s="66">
        <f>_xll.GetCtData("PKAMOUNT","AMOUNT",$A$1:$A$3,$A270:$B270,H$3:H$5,"#")</f>
        <v>0</v>
      </c>
      <c r="I270" s="66">
        <f>_xll.GetCtData("PKAMOUNT","AMOUNT",$A$1:$A$3,$A270:$B270,I$3:I$5,"#")</f>
        <v>0</v>
      </c>
      <c r="J270" s="66">
        <f>_xll.GetCtData("PKAMOUNT","AMOUNT",$A$1:$A$3,$A270:$B270,J$3:J$5,"#")</f>
        <v>0</v>
      </c>
      <c r="K270" s="86">
        <f>_xll.GetCtData("PKAMOUNT","AMOUNT",$A$1:$A$3,$A270:$B270,K$3:K$5,"#")</f>
        <v>0</v>
      </c>
      <c r="L270" s="86">
        <f>_xll.GetCtData("PKAMOUNT","AMOUNT",$A$1:$A$3,$A270:$B270,L$3:L$5,"#")</f>
        <v>0</v>
      </c>
      <c r="M270" s="66">
        <f>_xll.GetCtData("PKAMOUNT","AMOUNT",$A$1:$A$3,$A270:$B270,M$3:M$5,"#")</f>
        <v>0</v>
      </c>
      <c r="N270" s="66" t="e">
        <f>IF(N$1&lt;=#REF!,_xll.GetCtData("PKAMOUNT","AMOUNT",$A$1:$A$3,$A270:$B270,N$3:N$5,"#")-SUM($M270:M270),0)</f>
        <v>#REF!</v>
      </c>
      <c r="O270" s="66" t="e">
        <f>IF(O$1&lt;=#REF!,_xll.GetCtData("PKAMOUNT","AMOUNT",$A$1:$A$3,$A270:$B270,O$3:O$5,"#")-SUM($M270:N270),0)</f>
        <v>#REF!</v>
      </c>
      <c r="P270" s="66" t="e">
        <f>IF(P$1&lt;=#REF!,_xll.GetCtData("PKAMOUNT","AMOUNT",$A$1:$A$3,$A270:$B270,P$3:P$5,"#")-SUM($M270:O270),0)</f>
        <v>#REF!</v>
      </c>
      <c r="Q270" s="66" t="e">
        <f>IF(Q$1&lt;=#REF!,_xll.GetCtData("PKAMOUNT","AMOUNT",$A$1:$A$3,$A270:$B270,Q$3:Q$5,"#")-SUM($M270:P270),0)</f>
        <v>#REF!</v>
      </c>
      <c r="R270" s="66" t="e">
        <f>IF(R$1&lt;=#REF!,_xll.GetCtData("PKAMOUNT","AMOUNT",$A$1:$A$3,$A270:$B270,R$3:R$5,"#")-SUM($M270:Q270),0)</f>
        <v>#REF!</v>
      </c>
      <c r="S270" s="66" t="e">
        <f>IF(S$1&lt;=#REF!,_xll.GetCtData("PKAMOUNT","AMOUNT",$A$1:$A$3,$A270:$B270,S$3:S$5,"#")-SUM($M270:R270),0)</f>
        <v>#REF!</v>
      </c>
      <c r="T270" s="66" t="e">
        <f>IF(T$1&lt;=#REF!,_xll.GetCtData("PKAMOUNT","AMOUNT",$A$1:$A$3,$A270:$B270,T$3:T$5,"#")-SUM($M270:S270),0)</f>
        <v>#REF!</v>
      </c>
      <c r="U270" s="66" t="e">
        <f>IF(U$1&lt;=#REF!,_xll.GetCtData("PKAMOUNT","AMOUNT",$A$1:$A$3,$A270:$B270,U$3:U$5,"#")-SUM($M270:T270),0)</f>
        <v>#REF!</v>
      </c>
      <c r="V270" s="66" t="e">
        <f>IF(V$1&lt;=#REF!,_xll.GetCtData("PKAMOUNT","AMOUNT",$A$1:$A$3,$A270:$B270,V$3:V$5,"#")-SUM($M270:U270),0)</f>
        <v>#REF!</v>
      </c>
      <c r="W270" s="66" t="e">
        <f>IF(W$1&lt;=#REF!,_xll.GetCtData("PKAMOUNT","AMOUNT",$A$1:$A$3,$A270:$B270,W$3:W$5,"#")-SUM($M270:V270),0)</f>
        <v>#REF!</v>
      </c>
      <c r="X270" s="66" t="e">
        <f>IF(X$1&lt;=#REF!,_xll.GetCtData("PKAMOUNT","AMOUNT",$A$1:$A$3,$A270:$B270,X$3:X$5,"#")-SUM($M270:W270),0)</f>
        <v>#REF!</v>
      </c>
      <c r="Y270" s="66">
        <f>_xll.GetCtData("PKAMOUNT","AMOUNT",$A$1:$A$3,$A270:$B270,Y$3:Y$5,"#")</f>
        <v>0</v>
      </c>
      <c r="Z270" s="34"/>
      <c r="AA270" s="66" t="e">
        <f>$K270*#REF!/12</f>
        <v>#REF!</v>
      </c>
      <c r="AB270" s="60" t="e">
        <f t="shared" si="173"/>
        <v>#REF!</v>
      </c>
      <c r="AC270" s="34"/>
      <c r="AD270" s="66" t="e">
        <f>$L270*#REF!/12</f>
        <v>#REF!</v>
      </c>
      <c r="AE270" s="60" t="e">
        <f t="shared" si="174"/>
        <v>#REF!</v>
      </c>
    </row>
    <row r="271" spans="1:31" ht="18" hidden="1" customHeight="1" outlineLevel="1" x14ac:dyDescent="0.2">
      <c r="A271" s="30" t="s">
        <v>195</v>
      </c>
      <c r="B271" s="30" t="s">
        <v>22</v>
      </c>
      <c r="C271" s="4" t="e">
        <f t="shared" si="171"/>
        <v>#REF!</v>
      </c>
      <c r="D271" s="4" t="e">
        <f t="shared" si="172"/>
        <v>#REF!</v>
      </c>
      <c r="F271" s="38" t="s">
        <v>196</v>
      </c>
      <c r="G271" s="34"/>
      <c r="H271" s="66">
        <f>_xll.GetCtData("PKAMOUNT","AMOUNT",$A$1:$A$3,$A271:$B271,H$3:H$5,"#")</f>
        <v>0</v>
      </c>
      <c r="I271" s="66">
        <f>_xll.GetCtData("PKAMOUNT","AMOUNT",$A$1:$A$3,$A271:$B271,I$3:I$5,"#")</f>
        <v>0</v>
      </c>
      <c r="J271" s="66">
        <f>_xll.GetCtData("PKAMOUNT","AMOUNT",$A$1:$A$3,$A271:$B271,J$3:J$5,"#")</f>
        <v>0</v>
      </c>
      <c r="K271" s="86">
        <f>_xll.GetCtData("PKAMOUNT","AMOUNT",$A$1:$A$3,$A271:$B271,K$3:K$5,"#")</f>
        <v>0</v>
      </c>
      <c r="L271" s="86">
        <f>_xll.GetCtData("PKAMOUNT","AMOUNT",$A$1:$A$3,$A271:$B271,L$3:L$5,"#")</f>
        <v>0</v>
      </c>
      <c r="M271" s="66">
        <f>_xll.GetCtData("PKAMOUNT","AMOUNT",$A$1:$A$3,$A271:$B271,M$3:M$5,"#")</f>
        <v>0</v>
      </c>
      <c r="N271" s="66" t="e">
        <f>IF(N$1&lt;=#REF!,_xll.GetCtData("PKAMOUNT","AMOUNT",$A$1:$A$3,$A271:$B271,N$3:N$5,"#")-SUM($M271:M271),0)</f>
        <v>#REF!</v>
      </c>
      <c r="O271" s="66" t="e">
        <f>IF(O$1&lt;=#REF!,_xll.GetCtData("PKAMOUNT","AMOUNT",$A$1:$A$3,$A271:$B271,O$3:O$5,"#")-SUM($M271:N271),0)</f>
        <v>#REF!</v>
      </c>
      <c r="P271" s="66" t="e">
        <f>IF(P$1&lt;=#REF!,_xll.GetCtData("PKAMOUNT","AMOUNT",$A$1:$A$3,$A271:$B271,P$3:P$5,"#")-SUM($M271:O271),0)</f>
        <v>#REF!</v>
      </c>
      <c r="Q271" s="66" t="e">
        <f>IF(Q$1&lt;=#REF!,_xll.GetCtData("PKAMOUNT","AMOUNT",$A$1:$A$3,$A271:$B271,Q$3:Q$5,"#")-SUM($M271:P271),0)</f>
        <v>#REF!</v>
      </c>
      <c r="R271" s="66" t="e">
        <f>IF(R$1&lt;=#REF!,_xll.GetCtData("PKAMOUNT","AMOUNT",$A$1:$A$3,$A271:$B271,R$3:R$5,"#")-SUM($M271:Q271),0)</f>
        <v>#REF!</v>
      </c>
      <c r="S271" s="66" t="e">
        <f>IF(S$1&lt;=#REF!,_xll.GetCtData("PKAMOUNT","AMOUNT",$A$1:$A$3,$A271:$B271,S$3:S$5,"#")-SUM($M271:R271),0)</f>
        <v>#REF!</v>
      </c>
      <c r="T271" s="66" t="e">
        <f>IF(T$1&lt;=#REF!,_xll.GetCtData("PKAMOUNT","AMOUNT",$A$1:$A$3,$A271:$B271,T$3:T$5,"#")-SUM($M271:S271),0)</f>
        <v>#REF!</v>
      </c>
      <c r="U271" s="66" t="e">
        <f>IF(U$1&lt;=#REF!,_xll.GetCtData("PKAMOUNT","AMOUNT",$A$1:$A$3,$A271:$B271,U$3:U$5,"#")-SUM($M271:T271),0)</f>
        <v>#REF!</v>
      </c>
      <c r="V271" s="66" t="e">
        <f>IF(V$1&lt;=#REF!,_xll.GetCtData("PKAMOUNT","AMOUNT",$A$1:$A$3,$A271:$B271,V$3:V$5,"#")-SUM($M271:U271),0)</f>
        <v>#REF!</v>
      </c>
      <c r="W271" s="66" t="e">
        <f>IF(W$1&lt;=#REF!,_xll.GetCtData("PKAMOUNT","AMOUNT",$A$1:$A$3,$A271:$B271,W$3:W$5,"#")-SUM($M271:V271),0)</f>
        <v>#REF!</v>
      </c>
      <c r="X271" s="66" t="e">
        <f>IF(X$1&lt;=#REF!,_xll.GetCtData("PKAMOUNT","AMOUNT",$A$1:$A$3,$A271:$B271,X$3:X$5,"#")-SUM($M271:W271),0)</f>
        <v>#REF!</v>
      </c>
      <c r="Y271" s="66">
        <f>_xll.GetCtData("PKAMOUNT","AMOUNT",$A$1:$A$3,$A271:$B271,Y$3:Y$5,"#")</f>
        <v>0</v>
      </c>
      <c r="Z271" s="34"/>
      <c r="AA271" s="66" t="e">
        <f>$K271*#REF!/12</f>
        <v>#REF!</v>
      </c>
      <c r="AB271" s="60" t="e">
        <f t="shared" si="173"/>
        <v>#REF!</v>
      </c>
      <c r="AC271" s="34"/>
      <c r="AD271" s="66" t="e">
        <f>$L271*#REF!/12</f>
        <v>#REF!</v>
      </c>
      <c r="AE271" s="60" t="e">
        <f t="shared" si="174"/>
        <v>#REF!</v>
      </c>
    </row>
    <row r="272" spans="1:31" ht="18" hidden="1" customHeight="1" outlineLevel="1" x14ac:dyDescent="0.2">
      <c r="A272" s="30" t="s">
        <v>200</v>
      </c>
      <c r="B272" s="30" t="s">
        <v>22</v>
      </c>
      <c r="C272" s="4" t="e">
        <f t="shared" si="171"/>
        <v>#REF!</v>
      </c>
      <c r="D272" s="4" t="e">
        <f t="shared" si="172"/>
        <v>#REF!</v>
      </c>
      <c r="F272" s="104" t="s">
        <v>183</v>
      </c>
      <c r="G272" s="36"/>
      <c r="H272" s="65">
        <f>_xll.GetCtData("PKAMOUNT","AMOUNT",$A$1:$A$3,$A272:$B272,H$3:H$5,"#")</f>
        <v>0</v>
      </c>
      <c r="I272" s="65">
        <f>_xll.GetCtData("PKAMOUNT","AMOUNT",$A$1:$A$3,$A272:$B272,I$3:I$5,"#")</f>
        <v>0</v>
      </c>
      <c r="J272" s="65">
        <f>_xll.GetCtData("PKAMOUNT","AMOUNT",$A$1:$A$3,$A272:$B272,J$3:J$5,"#")</f>
        <v>0</v>
      </c>
      <c r="K272" s="90">
        <f>_xll.GetCtData("PKAMOUNT","AMOUNT",$A$1:$A$3,$A272:$B272,K$3:K$5,"#")</f>
        <v>0</v>
      </c>
      <c r="L272" s="90">
        <f>_xll.GetCtData("PKAMOUNT","AMOUNT",$A$1:$A$3,$A272:$B272,L$3:L$5,"#")</f>
        <v>0</v>
      </c>
      <c r="M272" s="65">
        <f>_xll.GetCtData("PKAMOUNT","AMOUNT",$A$1:$A$3,$A272:$B272,M$3:M$5,"#")</f>
        <v>0</v>
      </c>
      <c r="N272" s="65" t="e">
        <f>IF(N$1&lt;=#REF!,_xll.GetCtData("PKAMOUNT","AMOUNT",$A$1:$A$3,$A272:$B272,N$3:N$5,"#")-SUM($M272:M272),0)</f>
        <v>#REF!</v>
      </c>
      <c r="O272" s="65" t="e">
        <f>IF(O$1&lt;=#REF!,_xll.GetCtData("PKAMOUNT","AMOUNT",$A$1:$A$3,$A272:$B272,O$3:O$5,"#")-SUM($M272:N272),0)</f>
        <v>#REF!</v>
      </c>
      <c r="P272" s="65" t="e">
        <f>IF(P$1&lt;=#REF!,_xll.GetCtData("PKAMOUNT","AMOUNT",$A$1:$A$3,$A272:$B272,P$3:P$5,"#")-SUM($M272:O272),0)</f>
        <v>#REF!</v>
      </c>
      <c r="Q272" s="65" t="e">
        <f>IF(Q$1&lt;=#REF!,_xll.GetCtData("PKAMOUNT","AMOUNT",$A$1:$A$3,$A272:$B272,Q$3:Q$5,"#")-SUM($M272:P272),0)</f>
        <v>#REF!</v>
      </c>
      <c r="R272" s="65" t="e">
        <f>IF(R$1&lt;=#REF!,_xll.GetCtData("PKAMOUNT","AMOUNT",$A$1:$A$3,$A272:$B272,R$3:R$5,"#")-SUM($M272:Q272),0)</f>
        <v>#REF!</v>
      </c>
      <c r="S272" s="65" t="e">
        <f>IF(S$1&lt;=#REF!,_xll.GetCtData("PKAMOUNT","AMOUNT",$A$1:$A$3,$A272:$B272,S$3:S$5,"#")-SUM($M272:R272),0)</f>
        <v>#REF!</v>
      </c>
      <c r="T272" s="65" t="e">
        <f>IF(T$1&lt;=#REF!,_xll.GetCtData("PKAMOUNT","AMOUNT",$A$1:$A$3,$A272:$B272,T$3:T$5,"#")-SUM($M272:S272),0)</f>
        <v>#REF!</v>
      </c>
      <c r="U272" s="65" t="e">
        <f>IF(U$1&lt;=#REF!,_xll.GetCtData("PKAMOUNT","AMOUNT",$A$1:$A$3,$A272:$B272,U$3:U$5,"#")-SUM($M272:T272),0)</f>
        <v>#REF!</v>
      </c>
      <c r="V272" s="65" t="e">
        <f>IF(V$1&lt;=#REF!,_xll.GetCtData("PKAMOUNT","AMOUNT",$A$1:$A$3,$A272:$B272,V$3:V$5,"#")-SUM($M272:U272),0)</f>
        <v>#REF!</v>
      </c>
      <c r="W272" s="65" t="e">
        <f>IF(W$1&lt;=#REF!,_xll.GetCtData("PKAMOUNT","AMOUNT",$A$1:$A$3,$A272:$B272,W$3:W$5,"#")-SUM($M272:V272),0)</f>
        <v>#REF!</v>
      </c>
      <c r="X272" s="65" t="e">
        <f>IF(X$1&lt;=#REF!,_xll.GetCtData("PKAMOUNT","AMOUNT",$A$1:$A$3,$A272:$B272,X$3:X$5,"#")-SUM($M272:W272),0)</f>
        <v>#REF!</v>
      </c>
      <c r="Y272" s="65">
        <f>_xll.GetCtData("PKAMOUNT","AMOUNT",$A$1:$A$3,$A272:$B272,Y$3:Y$5,"#")</f>
        <v>0</v>
      </c>
      <c r="Z272" s="36"/>
      <c r="AA272" s="65" t="e">
        <f>$K272*#REF!/12</f>
        <v>#REF!</v>
      </c>
      <c r="AB272" s="60" t="e">
        <f t="shared" si="173"/>
        <v>#REF!</v>
      </c>
      <c r="AC272" s="36"/>
      <c r="AD272" s="65" t="e">
        <f>$L272*#REF!/12</f>
        <v>#REF!</v>
      </c>
      <c r="AE272" s="60" t="e">
        <f t="shared" si="174"/>
        <v>#REF!</v>
      </c>
    </row>
    <row r="273" spans="1:33" ht="18" hidden="1" customHeight="1" outlineLevel="1" x14ac:dyDescent="0.2">
      <c r="A273" s="30" t="s">
        <v>199</v>
      </c>
      <c r="B273" s="30" t="s">
        <v>22</v>
      </c>
      <c r="C273" s="4" t="e">
        <f t="shared" si="171"/>
        <v>#REF!</v>
      </c>
      <c r="D273" s="4" t="e">
        <f t="shared" si="172"/>
        <v>#REF!</v>
      </c>
      <c r="F273" s="38" t="s">
        <v>184</v>
      </c>
      <c r="G273" s="34"/>
      <c r="H273" s="66">
        <f>_xll.GetCtData("PKAMOUNT","AMOUNT",$A$1:$A$3,$A273:$B273,H$3:H$5,"#")</f>
        <v>0</v>
      </c>
      <c r="I273" s="66">
        <f>_xll.GetCtData("PKAMOUNT","AMOUNT",$A$1:$A$3,$A273:$B273,I$3:I$5,"#")</f>
        <v>0</v>
      </c>
      <c r="J273" s="66">
        <f>_xll.GetCtData("PKAMOUNT","AMOUNT",$A$1:$A$3,$A273:$B273,J$3:J$5,"#")</f>
        <v>0</v>
      </c>
      <c r="K273" s="86">
        <f>_xll.GetCtData("PKAMOUNT","AMOUNT",$A$1:$A$3,$A273:$B273,K$3:K$5,"#")</f>
        <v>0</v>
      </c>
      <c r="L273" s="86">
        <f>_xll.GetCtData("PKAMOUNT","AMOUNT",$A$1:$A$3,$A273:$B273,L$3:L$5,"#")</f>
        <v>0</v>
      </c>
      <c r="M273" s="66">
        <f>_xll.GetCtData("PKAMOUNT","AMOUNT",$A$1:$A$3,$A273:$B273,M$3:M$5,"#")</f>
        <v>0</v>
      </c>
      <c r="N273" s="66" t="e">
        <f>IF(N$1&lt;=#REF!,_xll.GetCtData("PKAMOUNT","AMOUNT",$A$1:$A$3,$A273:$B273,N$3:N$5,"#")-SUM($M273:M273),0)</f>
        <v>#REF!</v>
      </c>
      <c r="O273" s="66" t="e">
        <f>IF(O$1&lt;=#REF!,_xll.GetCtData("PKAMOUNT","AMOUNT",$A$1:$A$3,$A273:$B273,O$3:O$5,"#")-SUM($M273:N273),0)</f>
        <v>#REF!</v>
      </c>
      <c r="P273" s="66" t="e">
        <f>IF(P$1&lt;=#REF!,_xll.GetCtData("PKAMOUNT","AMOUNT",$A$1:$A$3,$A273:$B273,P$3:P$5,"#")-SUM($M273:O273),0)</f>
        <v>#REF!</v>
      </c>
      <c r="Q273" s="66" t="e">
        <f>IF(Q$1&lt;=#REF!,_xll.GetCtData("PKAMOUNT","AMOUNT",$A$1:$A$3,$A273:$B273,Q$3:Q$5,"#")-SUM($M273:P273),0)</f>
        <v>#REF!</v>
      </c>
      <c r="R273" s="66" t="e">
        <f>IF(R$1&lt;=#REF!,_xll.GetCtData("PKAMOUNT","AMOUNT",$A$1:$A$3,$A273:$B273,R$3:R$5,"#")-SUM($M273:Q273),0)</f>
        <v>#REF!</v>
      </c>
      <c r="S273" s="66" t="e">
        <f>IF(S$1&lt;=#REF!,_xll.GetCtData("PKAMOUNT","AMOUNT",$A$1:$A$3,$A273:$B273,S$3:S$5,"#")-SUM($M273:R273),0)</f>
        <v>#REF!</v>
      </c>
      <c r="T273" s="66" t="e">
        <f>IF(T$1&lt;=#REF!,_xll.GetCtData("PKAMOUNT","AMOUNT",$A$1:$A$3,$A273:$B273,T$3:T$5,"#")-SUM($M273:S273),0)</f>
        <v>#REF!</v>
      </c>
      <c r="U273" s="66" t="e">
        <f>IF(U$1&lt;=#REF!,_xll.GetCtData("PKAMOUNT","AMOUNT",$A$1:$A$3,$A273:$B273,U$3:U$5,"#")-SUM($M273:T273),0)</f>
        <v>#REF!</v>
      </c>
      <c r="V273" s="66" t="e">
        <f>IF(V$1&lt;=#REF!,_xll.GetCtData("PKAMOUNT","AMOUNT",$A$1:$A$3,$A273:$B273,V$3:V$5,"#")-SUM($M273:U273),0)</f>
        <v>#REF!</v>
      </c>
      <c r="W273" s="66" t="e">
        <f>IF(W$1&lt;=#REF!,_xll.GetCtData("PKAMOUNT","AMOUNT",$A$1:$A$3,$A273:$B273,W$3:W$5,"#")-SUM($M273:V273),0)</f>
        <v>#REF!</v>
      </c>
      <c r="X273" s="66" t="e">
        <f>IF(X$1&lt;=#REF!,_xll.GetCtData("PKAMOUNT","AMOUNT",$A$1:$A$3,$A273:$B273,X$3:X$5,"#")-SUM($M273:W273),0)</f>
        <v>#REF!</v>
      </c>
      <c r="Y273" s="66">
        <f>_xll.GetCtData("PKAMOUNT","AMOUNT",$A$1:$A$3,$A273:$B273,Y$3:Y$5,"#")</f>
        <v>0</v>
      </c>
      <c r="Z273" s="34"/>
      <c r="AA273" s="66" t="e">
        <f>$K273*#REF!/12</f>
        <v>#REF!</v>
      </c>
      <c r="AB273" s="60" t="e">
        <f t="shared" si="173"/>
        <v>#REF!</v>
      </c>
      <c r="AC273" s="34"/>
      <c r="AD273" s="66" t="e">
        <f>$L273*#REF!/12</f>
        <v>#REF!</v>
      </c>
      <c r="AE273" s="60" t="e">
        <f t="shared" si="174"/>
        <v>#REF!</v>
      </c>
    </row>
    <row r="274" spans="1:33" ht="18" hidden="1" customHeight="1" outlineLevel="1" x14ac:dyDescent="0.2">
      <c r="A274" s="30" t="s">
        <v>185</v>
      </c>
      <c r="B274" s="30" t="s">
        <v>22</v>
      </c>
      <c r="C274" s="4" t="e">
        <f t="shared" si="171"/>
        <v>#REF!</v>
      </c>
      <c r="D274" s="4" t="e">
        <f t="shared" si="172"/>
        <v>#REF!</v>
      </c>
      <c r="F274" s="38" t="s">
        <v>186</v>
      </c>
      <c r="G274" s="34"/>
      <c r="H274" s="66">
        <f>_xll.GetCtData("PKAMOUNT","AMOUNT",$A$1:$A$3,$A274:$B274,H$3:H$5,"#")</f>
        <v>0</v>
      </c>
      <c r="I274" s="66">
        <f>_xll.GetCtData("PKAMOUNT","AMOUNT",$A$1:$A$3,$A274:$B274,I$3:I$5,"#5,569")</f>
        <v>5.569</v>
      </c>
      <c r="J274" s="66">
        <f>_xll.GetCtData("PKAMOUNT","AMOUNT",$A$1:$A$3,$A274:$B274,J$3:J$5,"#5,569")</f>
        <v>5.569</v>
      </c>
      <c r="K274" s="86">
        <f>_xll.GetCtData("PKAMOUNT","AMOUNT",$A$1:$A$3,$A274:$B274,K$3:K$5,"#")</f>
        <v>0</v>
      </c>
      <c r="L274" s="86">
        <f>_xll.GetCtData("PKAMOUNT","AMOUNT",$A$1:$A$3,$A274:$B274,L$3:L$5,"#")</f>
        <v>0</v>
      </c>
      <c r="M274" s="66">
        <f>_xll.GetCtData("PKAMOUNT","AMOUNT",$A$1:$A$3,$A274:$B274,M$3:M$5,"#")</f>
        <v>0</v>
      </c>
      <c r="N274" s="66" t="e">
        <f>IF(N$1&lt;=#REF!,_xll.GetCtData("PKAMOUNT","AMOUNT",$A$1:$A$3,$A274:$B274,N$3:N$5,"#")-SUM($M274:M274),0)</f>
        <v>#REF!</v>
      </c>
      <c r="O274" s="66" t="e">
        <f>IF(O$1&lt;=#REF!,_xll.GetCtData("PKAMOUNT","AMOUNT",$A$1:$A$3,$A274:$B274,O$3:O$5,"#")-SUM($M274:N274),0)</f>
        <v>#REF!</v>
      </c>
      <c r="P274" s="66" t="e">
        <f>IF(P$1&lt;=#REF!,_xll.GetCtData("PKAMOUNT","AMOUNT",$A$1:$A$3,$A274:$B274,P$3:P$5,"#")-SUM($M274:O274),0)</f>
        <v>#REF!</v>
      </c>
      <c r="Q274" s="66" t="e">
        <f>IF(Q$1&lt;=#REF!,_xll.GetCtData("PKAMOUNT","AMOUNT",$A$1:$A$3,$A274:$B274,Q$3:Q$5,"#")-SUM($M274:P274),0)</f>
        <v>#REF!</v>
      </c>
      <c r="R274" s="66" t="e">
        <f>IF(R$1&lt;=#REF!,_xll.GetCtData("PKAMOUNT","AMOUNT",$A$1:$A$3,$A274:$B274,R$3:R$5,"#")-SUM($M274:Q274),0)</f>
        <v>#REF!</v>
      </c>
      <c r="S274" s="66" t="e">
        <f>IF(S$1&lt;=#REF!,_xll.GetCtData("PKAMOUNT","AMOUNT",$A$1:$A$3,$A274:$B274,S$3:S$5,"#")-SUM($M274:R274),0)</f>
        <v>#REF!</v>
      </c>
      <c r="T274" s="66" t="e">
        <f>IF(T$1&lt;=#REF!,_xll.GetCtData("PKAMOUNT","AMOUNT",$A$1:$A$3,$A274:$B274,T$3:T$5,"#")-SUM($M274:S274),0)</f>
        <v>#REF!</v>
      </c>
      <c r="U274" s="66" t="e">
        <f>IF(U$1&lt;=#REF!,_xll.GetCtData("PKAMOUNT","AMOUNT",$A$1:$A$3,$A274:$B274,U$3:U$5,"#")-SUM($M274:T274),0)</f>
        <v>#REF!</v>
      </c>
      <c r="V274" s="66" t="e">
        <f>IF(V$1&lt;=#REF!,_xll.GetCtData("PKAMOUNT","AMOUNT",$A$1:$A$3,$A274:$B274,V$3:V$5,"#")-SUM($M274:U274),0)</f>
        <v>#REF!</v>
      </c>
      <c r="W274" s="66" t="e">
        <f>IF(W$1&lt;=#REF!,_xll.GetCtData("PKAMOUNT","AMOUNT",$A$1:$A$3,$A274:$B274,W$3:W$5,"#")-SUM($M274:V274),0)</f>
        <v>#REF!</v>
      </c>
      <c r="X274" s="66" t="e">
        <f>IF(X$1&lt;=#REF!,_xll.GetCtData("PKAMOUNT","AMOUNT",$A$1:$A$3,$A274:$B274,X$3:X$5,"#")-SUM($M274:W274),0)</f>
        <v>#REF!</v>
      </c>
      <c r="Y274" s="66">
        <f>_xll.GetCtData("PKAMOUNT","AMOUNT",$A$1:$A$3,$A274:$B274,Y$3:Y$5,"#")</f>
        <v>0</v>
      </c>
      <c r="Z274" s="34"/>
      <c r="AA274" s="66" t="e">
        <f>$K274*#REF!/12</f>
        <v>#REF!</v>
      </c>
      <c r="AB274" s="60" t="e">
        <f t="shared" si="173"/>
        <v>#REF!</v>
      </c>
      <c r="AC274" s="34"/>
      <c r="AD274" s="66" t="e">
        <f>$L274*#REF!/12</f>
        <v>#REF!</v>
      </c>
      <c r="AE274" s="60" t="e">
        <f t="shared" si="174"/>
        <v>#REF!</v>
      </c>
    </row>
    <row r="275" spans="1:33" ht="18" hidden="1" customHeight="1" outlineLevel="1" x14ac:dyDescent="0.2">
      <c r="A275" s="30" t="s">
        <v>125</v>
      </c>
      <c r="B275" s="30" t="s">
        <v>22</v>
      </c>
      <c r="C275" s="4" t="e">
        <f t="shared" si="171"/>
        <v>#REF!</v>
      </c>
      <c r="D275" s="4" t="e">
        <f t="shared" si="172"/>
        <v>#REF!</v>
      </c>
      <c r="F275" s="38" t="s">
        <v>126</v>
      </c>
      <c r="G275" s="34"/>
      <c r="H275" s="66">
        <f>_xll.GetCtData("PKAMOUNT","AMOUNT",$A$1:$A$3,$A275:$B275,H$3:H$5,"#")</f>
        <v>0</v>
      </c>
      <c r="I275" s="66">
        <f>_xll.GetCtData("PKAMOUNT","AMOUNT",$A$1:$A$3,$A275:$B275,I$3:I$5,"#")</f>
        <v>0</v>
      </c>
      <c r="J275" s="66">
        <f>_xll.GetCtData("PKAMOUNT","AMOUNT",$A$1:$A$3,$A275:$B275,J$3:J$5,"#")</f>
        <v>0</v>
      </c>
      <c r="K275" s="86">
        <f>_xll.GetCtData("PKAMOUNT","AMOUNT",$A$1:$A$3,$A275:$B275,K$3:K$5,"#")</f>
        <v>0</v>
      </c>
      <c r="L275" s="86">
        <f>_xll.GetCtData("PKAMOUNT","AMOUNT",$A$1:$A$3,$A275:$B275,L$3:L$5,"#")</f>
        <v>0</v>
      </c>
      <c r="M275" s="66">
        <f>_xll.GetCtData("PKAMOUNT","AMOUNT",$A$1:$A$3,$A275:$B275,M$3:M$5,"#")</f>
        <v>0</v>
      </c>
      <c r="N275" s="66" t="e">
        <f>IF(N$1&lt;=#REF!,_xll.GetCtData("PKAMOUNT","AMOUNT",$A$1:$A$3,$A275:$B275,N$3:N$5,"#")-SUM($M275:M275),0)</f>
        <v>#REF!</v>
      </c>
      <c r="O275" s="66" t="e">
        <f>IF(O$1&lt;=#REF!,_xll.GetCtData("PKAMOUNT","AMOUNT",$A$1:$A$3,$A275:$B275,O$3:O$5,"#")-SUM($M275:N275),0)</f>
        <v>#REF!</v>
      </c>
      <c r="P275" s="66" t="e">
        <f>IF(P$1&lt;=#REF!,_xll.GetCtData("PKAMOUNT","AMOUNT",$A$1:$A$3,$A275:$B275,P$3:P$5,"#")-SUM($M275:O275),0)</f>
        <v>#REF!</v>
      </c>
      <c r="Q275" s="66" t="e">
        <f>IF(Q$1&lt;=#REF!,_xll.GetCtData("PKAMOUNT","AMOUNT",$A$1:$A$3,$A275:$B275,Q$3:Q$5,"#")-SUM($M275:P275),0)</f>
        <v>#REF!</v>
      </c>
      <c r="R275" s="66" t="e">
        <f>IF(R$1&lt;=#REF!,_xll.GetCtData("PKAMOUNT","AMOUNT",$A$1:$A$3,$A275:$B275,R$3:R$5,"#")-SUM($M275:Q275),0)</f>
        <v>#REF!</v>
      </c>
      <c r="S275" s="66" t="e">
        <f>IF(S$1&lt;=#REF!,_xll.GetCtData("PKAMOUNT","AMOUNT",$A$1:$A$3,$A275:$B275,S$3:S$5,"#")-SUM($M275:R275),0)</f>
        <v>#REF!</v>
      </c>
      <c r="T275" s="66" t="e">
        <f>IF(T$1&lt;=#REF!,_xll.GetCtData("PKAMOUNT","AMOUNT",$A$1:$A$3,$A275:$B275,T$3:T$5,"#")-SUM($M275:S275),0)</f>
        <v>#REF!</v>
      </c>
      <c r="U275" s="66" t="e">
        <f>IF(U$1&lt;=#REF!,_xll.GetCtData("PKAMOUNT","AMOUNT",$A$1:$A$3,$A275:$B275,U$3:U$5,"#")-SUM($M275:T275),0)</f>
        <v>#REF!</v>
      </c>
      <c r="V275" s="66" t="e">
        <f>IF(V$1&lt;=#REF!,_xll.GetCtData("PKAMOUNT","AMOUNT",$A$1:$A$3,$A275:$B275,V$3:V$5,"#")-SUM($M275:U275),0)</f>
        <v>#REF!</v>
      </c>
      <c r="W275" s="66" t="e">
        <f>IF(W$1&lt;=#REF!,_xll.GetCtData("PKAMOUNT","AMOUNT",$A$1:$A$3,$A275:$B275,W$3:W$5,"#")-SUM($M275:V275),0)</f>
        <v>#REF!</v>
      </c>
      <c r="X275" s="66" t="e">
        <f>IF(X$1&lt;=#REF!,_xll.GetCtData("PKAMOUNT","AMOUNT",$A$1:$A$3,$A275:$B275,X$3:X$5,"#")-SUM($M275:W275),0)</f>
        <v>#REF!</v>
      </c>
      <c r="Y275" s="66">
        <f>_xll.GetCtData("PKAMOUNT","AMOUNT",$A$1:$A$3,$A275:$B275,Y$3:Y$5,"#")</f>
        <v>0</v>
      </c>
      <c r="Z275" s="34"/>
      <c r="AA275" s="66" t="e">
        <f>$K275*#REF!/12</f>
        <v>#REF!</v>
      </c>
      <c r="AB275" s="60" t="e">
        <f t="shared" si="173"/>
        <v>#REF!</v>
      </c>
      <c r="AC275" s="34"/>
      <c r="AD275" s="66" t="e">
        <f>$L275*#REF!/12</f>
        <v>#REF!</v>
      </c>
      <c r="AE275" s="60" t="e">
        <f t="shared" si="174"/>
        <v>#REF!</v>
      </c>
    </row>
    <row r="276" spans="1:33" ht="18" customHeight="1" collapsed="1" x14ac:dyDescent="0.2">
      <c r="A276" s="35"/>
      <c r="B276" s="35"/>
      <c r="C276" s="4" t="e">
        <f t="shared" si="171"/>
        <v>#REF!</v>
      </c>
      <c r="D276" s="4" t="e">
        <f t="shared" si="172"/>
        <v>#REF!</v>
      </c>
      <c r="F276" s="106" t="s">
        <v>69</v>
      </c>
      <c r="H276" s="61">
        <f>SUM(H259:H275)</f>
        <v>-4.5640000000000001</v>
      </c>
      <c r="I276" s="61">
        <f t="shared" ref="I276:Y276" si="175">SUM(I259:I275)</f>
        <v>1.4630000000000001</v>
      </c>
      <c r="J276" s="61">
        <f t="shared" si="175"/>
        <v>1.4630000000000001</v>
      </c>
      <c r="K276" s="86">
        <f t="shared" si="175"/>
        <v>0</v>
      </c>
      <c r="L276" s="86">
        <f t="shared" si="175"/>
        <v>0</v>
      </c>
      <c r="M276" s="61">
        <f t="shared" si="175"/>
        <v>0</v>
      </c>
      <c r="N276" s="61" t="e">
        <f t="shared" si="175"/>
        <v>#REF!</v>
      </c>
      <c r="O276" s="61" t="e">
        <f>SUM(O259:O275)</f>
        <v>#REF!</v>
      </c>
      <c r="P276" s="61" t="e">
        <f t="shared" si="175"/>
        <v>#REF!</v>
      </c>
      <c r="Q276" s="61" t="e">
        <f t="shared" si="175"/>
        <v>#REF!</v>
      </c>
      <c r="R276" s="61" t="e">
        <f t="shared" si="175"/>
        <v>#REF!</v>
      </c>
      <c r="S276" s="61" t="e">
        <f t="shared" ref="S276:T276" si="176">SUM(S259:S275)</f>
        <v>#REF!</v>
      </c>
      <c r="T276" s="61" t="e">
        <f t="shared" si="176"/>
        <v>#REF!</v>
      </c>
      <c r="U276" s="61" t="e">
        <f t="shared" si="175"/>
        <v>#REF!</v>
      </c>
      <c r="V276" s="61" t="e">
        <f t="shared" si="175"/>
        <v>#REF!</v>
      </c>
      <c r="W276" s="61" t="e">
        <f t="shared" si="175"/>
        <v>#REF!</v>
      </c>
      <c r="X276" s="61" t="e">
        <f t="shared" si="175"/>
        <v>#REF!</v>
      </c>
      <c r="Y276" s="61">
        <f t="shared" si="175"/>
        <v>0</v>
      </c>
      <c r="AA276" s="61" t="e">
        <f>$K276*#REF!/12</f>
        <v>#REF!</v>
      </c>
      <c r="AB276" s="60" t="e">
        <f t="shared" si="173"/>
        <v>#REF!</v>
      </c>
      <c r="AD276" s="61" t="e">
        <f>$L276*#REF!/12</f>
        <v>#REF!</v>
      </c>
      <c r="AE276" s="60" t="e">
        <f t="shared" si="174"/>
        <v>#REF!</v>
      </c>
    </row>
    <row r="277" spans="1:33" ht="18" customHeight="1" x14ac:dyDescent="0.2">
      <c r="A277" s="30" t="s">
        <v>257</v>
      </c>
      <c r="B277" s="30" t="s">
        <v>22</v>
      </c>
      <c r="C277" s="4" t="e">
        <f t="shared" si="171"/>
        <v>#REF!</v>
      </c>
      <c r="D277" s="4" t="e">
        <f t="shared" si="172"/>
        <v>#REF!</v>
      </c>
      <c r="F277" s="104" t="s">
        <v>258</v>
      </c>
      <c r="G277" s="36"/>
      <c r="H277" s="65">
        <f>_xll.GetCtData("PKAMOUNT","AMOUNT",$A$1:$A$3,$A277:$B277,H$3:H$5,"#74,709")</f>
        <v>74.709000000000003</v>
      </c>
      <c r="I277" s="65">
        <f>_xll.GetCtData("PKAMOUNT","AMOUNT",$A$1:$A$3,$A277:$B277,I$3:I$5,"#16,282")</f>
        <v>16.282</v>
      </c>
      <c r="J277" s="65">
        <f>_xll.GetCtData("PKAMOUNT","AMOUNT",$A$1:$A$3,$A277:$B277,J$3:J$5,"#16,282")</f>
        <v>16.282</v>
      </c>
      <c r="K277" s="65">
        <f>_xll.GetCtData("PKAMOUNT","AMOUNT",$A$1:$A$3,$A277:$B277,K$3:K$5,"#")</f>
        <v>0</v>
      </c>
      <c r="L277" s="65">
        <f>_xll.GetCtData("PKAMOUNT","AMOUNT",$A$1:$A$3,$A277:$B277,L$3:L$5,"#")</f>
        <v>0</v>
      </c>
      <c r="M277" s="65">
        <f>_xll.GetCtData("PKAMOUNT","AMOUNT",$A$1:$A$3,$A277:$B277,M$3:M$5,"#")</f>
        <v>0</v>
      </c>
      <c r="N277" s="65" t="e">
        <f>IF(N$1&lt;=#REF!,_xll.GetCtData("PKAMOUNT","AMOUNT",$A$1:$A$3,$A277:$B277,N$3:N$5,"#")-SUM($M277:M277),0)</f>
        <v>#REF!</v>
      </c>
      <c r="O277" s="65" t="e">
        <f>IF(O$1&lt;=#REF!,_xll.GetCtData("PKAMOUNT","AMOUNT",$A$1:$A$3,$A277:$B277,O$3:O$5,"#")-SUM($M277:N277),0)</f>
        <v>#REF!</v>
      </c>
      <c r="P277" s="65" t="e">
        <f>IF(P$1&lt;=#REF!,_xll.GetCtData("PKAMOUNT","AMOUNT",$A$1:$A$3,$A277:$B277,P$3:P$5,"#")-SUM($M277:O277),0)</f>
        <v>#REF!</v>
      </c>
      <c r="Q277" s="65" t="e">
        <f>IF(Q$1&lt;=#REF!,_xll.GetCtData("PKAMOUNT","AMOUNT",$A$1:$A$3,$A277:$B277,Q$3:Q$5,"#")-SUM($M277:P277),0)</f>
        <v>#REF!</v>
      </c>
      <c r="R277" s="65" t="e">
        <f>IF(R$1&lt;=#REF!,_xll.GetCtData("PKAMOUNT","AMOUNT",$A$1:$A$3,$A277:$B277,R$3:R$5,"#")-SUM($M277:Q277),0)</f>
        <v>#REF!</v>
      </c>
      <c r="S277" s="65" t="e">
        <f>IF(S$1&lt;=#REF!,_xll.GetCtData("PKAMOUNT","AMOUNT",$A$1:$A$3,$A277:$B277,S$3:S$5,"#")-SUM($M277:R277),0)</f>
        <v>#REF!</v>
      </c>
      <c r="T277" s="65" t="e">
        <f>IF(T$1&lt;=#REF!,_xll.GetCtData("PKAMOUNT","AMOUNT",$A$1:$A$3,$A277:$B277,T$3:T$5,"#")-SUM($M277:S277),0)</f>
        <v>#REF!</v>
      </c>
      <c r="U277" s="65" t="e">
        <f>IF(U$1&lt;=#REF!,_xll.GetCtData("PKAMOUNT","AMOUNT",$A$1:$A$3,$A277:$B277,U$3:U$5,"#")-SUM($M277:T277),0)</f>
        <v>#REF!</v>
      </c>
      <c r="V277" s="65" t="e">
        <f>IF(V$1&lt;=#REF!,_xll.GetCtData("PKAMOUNT","AMOUNT",$A$1:$A$3,$A277:$B277,V$3:V$5,"#")-SUM($M277:U277),0)</f>
        <v>#REF!</v>
      </c>
      <c r="W277" s="65" t="e">
        <f>IF(W$1&lt;=#REF!,_xll.GetCtData("PKAMOUNT","AMOUNT",$A$1:$A$3,$A277:$B277,W$3:W$5,"#")-SUM($M277:V277),0)</f>
        <v>#REF!</v>
      </c>
      <c r="X277" s="65" t="e">
        <f>IF(X$1&lt;=#REF!,_xll.GetCtData("PKAMOUNT","AMOUNT",$A$1:$A$3,$A277:$B277,X$3:X$5,"#")-SUM($M277:W277),0)</f>
        <v>#REF!</v>
      </c>
      <c r="Y277" s="65">
        <f>_xll.GetCtData("PKAMOUNT","AMOUNT",$A$1:$A$3,$A277:$B277,Y$3:Y$5,"#")</f>
        <v>0</v>
      </c>
      <c r="Z277" s="36"/>
      <c r="AA277" s="65" t="e">
        <f>$K277*#REF!/12</f>
        <v>#REF!</v>
      </c>
      <c r="AB277" s="60" t="e">
        <f t="shared" si="173"/>
        <v>#REF!</v>
      </c>
      <c r="AC277" s="36"/>
      <c r="AD277" s="65" t="e">
        <f>$L277*#REF!/12</f>
        <v>#REF!</v>
      </c>
      <c r="AE277" s="60" t="e">
        <f t="shared" si="174"/>
        <v>#REF!</v>
      </c>
    </row>
    <row r="278" spans="1:33" ht="18" customHeight="1" x14ac:dyDescent="0.2">
      <c r="A278" s="30" t="s">
        <v>256</v>
      </c>
      <c r="B278" s="30" t="s">
        <v>22</v>
      </c>
      <c r="C278" s="4" t="e">
        <f t="shared" si="171"/>
        <v>#REF!</v>
      </c>
      <c r="D278" s="4" t="e">
        <f t="shared" si="172"/>
        <v>#REF!</v>
      </c>
      <c r="F278" s="104" t="s">
        <v>259</v>
      </c>
      <c r="G278" s="36"/>
      <c r="H278" s="65">
        <f>_xll.GetCtData("PKAMOUNT","AMOUNT",$A$1:$A$3,$A278:$B278,H$3:H$5,"#")</f>
        <v>0</v>
      </c>
      <c r="I278" s="65">
        <f>_xll.GetCtData("PKAMOUNT","AMOUNT",$A$1:$A$3,$A278:$B278,I$3:I$5,"#")</f>
        <v>0</v>
      </c>
      <c r="J278" s="65">
        <f>_xll.GetCtData("PKAMOUNT","AMOUNT",$A$1:$A$3,$A278:$B278,J$3:J$5,"#")</f>
        <v>0</v>
      </c>
      <c r="K278" s="65">
        <f>_xll.GetCtData("PKAMOUNT","AMOUNT",$A$1:$A$3,$A278:$B278,K$3:K$5,"#")</f>
        <v>0</v>
      </c>
      <c r="L278" s="65">
        <f>_xll.GetCtData("PKAMOUNT","AMOUNT",$A$1:$A$3,$A278:$B278,L$3:L$5,"#")</f>
        <v>0</v>
      </c>
      <c r="M278" s="65">
        <f>_xll.GetCtData("PKAMOUNT","AMOUNT",$A$1:$A$3,$A278:$B278,M$3:M$5,"#")</f>
        <v>0</v>
      </c>
      <c r="N278" s="65" t="e">
        <f>IF(N$1&lt;=#REF!,_xll.GetCtData("PKAMOUNT","AMOUNT",$A$1:$A$3,$A278:$B278,N$3:N$5,"#")-SUM($M278:M278),0)</f>
        <v>#REF!</v>
      </c>
      <c r="O278" s="65" t="e">
        <f>IF(O$1&lt;=#REF!,_xll.GetCtData("PKAMOUNT","AMOUNT",$A$1:$A$3,$A278:$B278,O$3:O$5,"#")-SUM($M278:N278),0)</f>
        <v>#REF!</v>
      </c>
      <c r="P278" s="65" t="e">
        <f>IF(P$1&lt;=#REF!,_xll.GetCtData("PKAMOUNT","AMOUNT",$A$1:$A$3,$A278:$B278,P$3:P$5,"#")-SUM($M278:O278),0)</f>
        <v>#REF!</v>
      </c>
      <c r="Q278" s="65" t="e">
        <f>IF(Q$1&lt;=#REF!,_xll.GetCtData("PKAMOUNT","AMOUNT",$A$1:$A$3,$A278:$B278,Q$3:Q$5,"#")-SUM($M278:P278),0)</f>
        <v>#REF!</v>
      </c>
      <c r="R278" s="65" t="e">
        <f>IF(R$1&lt;=#REF!,_xll.GetCtData("PKAMOUNT","AMOUNT",$A$1:$A$3,$A278:$B278,R$3:R$5,"#")-SUM($M278:Q278),0)</f>
        <v>#REF!</v>
      </c>
      <c r="S278" s="65" t="e">
        <f>IF(S$1&lt;=#REF!,_xll.GetCtData("PKAMOUNT","AMOUNT",$A$1:$A$3,$A278:$B278,S$3:S$5,"#")-SUM($M278:R278),0)</f>
        <v>#REF!</v>
      </c>
      <c r="T278" s="65" t="e">
        <f>IF(T$1&lt;=#REF!,_xll.GetCtData("PKAMOUNT","AMOUNT",$A$1:$A$3,$A278:$B278,T$3:T$5,"#")-SUM($M278:S278),0)</f>
        <v>#REF!</v>
      </c>
      <c r="U278" s="65" t="e">
        <f>IF(U$1&lt;=#REF!,_xll.GetCtData("PKAMOUNT","AMOUNT",$A$1:$A$3,$A278:$B278,U$3:U$5,"#")-SUM($M278:T278),0)</f>
        <v>#REF!</v>
      </c>
      <c r="V278" s="65" t="e">
        <f>IF(V$1&lt;=#REF!,_xll.GetCtData("PKAMOUNT","AMOUNT",$A$1:$A$3,$A278:$B278,V$3:V$5,"#")-SUM($M278:U278),0)</f>
        <v>#REF!</v>
      </c>
      <c r="W278" s="65" t="e">
        <f>IF(W$1&lt;=#REF!,_xll.GetCtData("PKAMOUNT","AMOUNT",$A$1:$A$3,$A278:$B278,W$3:W$5,"#")-SUM($M278:V278),0)</f>
        <v>#REF!</v>
      </c>
      <c r="X278" s="65" t="e">
        <f>IF(X$1&lt;=#REF!,_xll.GetCtData("PKAMOUNT","AMOUNT",$A$1:$A$3,$A278:$B278,X$3:X$5,"#")-SUM($M278:W278),0)</f>
        <v>#REF!</v>
      </c>
      <c r="Y278" s="65">
        <f>_xll.GetCtData("PKAMOUNT","AMOUNT",$A$1:$A$3,$A278:$B278,Y$3:Y$5,"#")</f>
        <v>0</v>
      </c>
      <c r="Z278" s="36"/>
      <c r="AA278" s="65" t="e">
        <f>$K278*#REF!/12</f>
        <v>#REF!</v>
      </c>
      <c r="AB278" s="60" t="e">
        <f t="shared" si="173"/>
        <v>#REF!</v>
      </c>
      <c r="AC278" s="36"/>
      <c r="AD278" s="65" t="e">
        <f>$L278*#REF!/12</f>
        <v>#REF!</v>
      </c>
      <c r="AE278" s="60" t="e">
        <f t="shared" si="174"/>
        <v>#REF!</v>
      </c>
    </row>
    <row r="279" spans="1:33" ht="18" customHeight="1" x14ac:dyDescent="0.2">
      <c r="A279" s="35"/>
      <c r="B279" s="35"/>
      <c r="C279" s="4" t="e">
        <f t="shared" si="171"/>
        <v>#REF!</v>
      </c>
      <c r="D279" s="4" t="e">
        <f t="shared" si="172"/>
        <v>#REF!</v>
      </c>
      <c r="F279" s="95" t="s">
        <v>87</v>
      </c>
      <c r="H279" s="64">
        <f>H249+H250+H251+H252+H253+H254+H255+H256+H257+H258+H277+H278+H276</f>
        <v>70.14500000000001</v>
      </c>
      <c r="I279" s="64">
        <f t="shared" ref="I279:Y279" si="177">I249+I250+I251+I252+I253+I254+I255+I256+I257+I258+I277+I278+I276</f>
        <v>17.745000000000001</v>
      </c>
      <c r="J279" s="64">
        <f t="shared" si="177"/>
        <v>17.745000000000001</v>
      </c>
      <c r="K279" s="89">
        <f t="shared" si="177"/>
        <v>0</v>
      </c>
      <c r="L279" s="89">
        <f t="shared" si="177"/>
        <v>0</v>
      </c>
      <c r="M279" s="64">
        <f t="shared" si="177"/>
        <v>0</v>
      </c>
      <c r="N279" s="64" t="e">
        <f t="shared" si="177"/>
        <v>#REF!</v>
      </c>
      <c r="O279" s="64" t="e">
        <f t="shared" si="177"/>
        <v>#REF!</v>
      </c>
      <c r="P279" s="64" t="e">
        <f t="shared" si="177"/>
        <v>#REF!</v>
      </c>
      <c r="Q279" s="64" t="e">
        <f t="shared" si="177"/>
        <v>#REF!</v>
      </c>
      <c r="R279" s="64" t="e">
        <f t="shared" si="177"/>
        <v>#REF!</v>
      </c>
      <c r="S279" s="64" t="e">
        <f t="shared" ref="S279:T279" si="178">S249+S250+S251+S252+S253+S254+S255+S256+S257+S258+S277+S278+S276</f>
        <v>#REF!</v>
      </c>
      <c r="T279" s="64" t="e">
        <f t="shared" si="178"/>
        <v>#REF!</v>
      </c>
      <c r="U279" s="64" t="e">
        <f t="shared" si="177"/>
        <v>#REF!</v>
      </c>
      <c r="V279" s="64" t="e">
        <f t="shared" si="177"/>
        <v>#REF!</v>
      </c>
      <c r="W279" s="64" t="e">
        <f t="shared" si="177"/>
        <v>#REF!</v>
      </c>
      <c r="X279" s="64" t="e">
        <f t="shared" si="177"/>
        <v>#REF!</v>
      </c>
      <c r="Y279" s="64">
        <f t="shared" si="177"/>
        <v>0</v>
      </c>
      <c r="AA279" s="64" t="e">
        <f>$K279*#REF!/12</f>
        <v>#REF!</v>
      </c>
      <c r="AB279" s="60" t="e">
        <f t="shared" si="173"/>
        <v>#REF!</v>
      </c>
      <c r="AD279" s="64" t="e">
        <f>$L279*#REF!/12</f>
        <v>#REF!</v>
      </c>
      <c r="AE279" s="60" t="e">
        <f t="shared" si="174"/>
        <v>#REF!</v>
      </c>
    </row>
    <row r="280" spans="1:33" ht="12.95" customHeight="1" x14ac:dyDescent="0.2">
      <c r="A280" s="35"/>
      <c r="B280" s="35"/>
      <c r="C280" s="4"/>
      <c r="D280" s="4"/>
      <c r="F280" s="39" t="s">
        <v>223</v>
      </c>
      <c r="H280" s="56">
        <f>-H279/(H$58)</f>
        <v>1.8338082664505506</v>
      </c>
      <c r="I280" s="56">
        <f t="shared" ref="I280:L280" si="179">-I279/(I$58)</f>
        <v>1.089853826311264</v>
      </c>
      <c r="J280" s="56">
        <f t="shared" si="179"/>
        <v>1.089853826311264</v>
      </c>
      <c r="K280" s="109" t="e">
        <f t="shared" si="179"/>
        <v>#DIV/0!</v>
      </c>
      <c r="L280" s="109" t="e">
        <f t="shared" si="179"/>
        <v>#DIV/0!</v>
      </c>
      <c r="M280" s="56" t="e">
        <f>-M279/(M$58)</f>
        <v>#DIV/0!</v>
      </c>
      <c r="N280" s="56" t="e">
        <f>IF(N$1&lt;=#REF!,-N279/(N$58),"")</f>
        <v>#REF!</v>
      </c>
      <c r="O280" s="56" t="e">
        <f>IF(O$1&lt;=#REF!,-O279/(O$58),"")</f>
        <v>#REF!</v>
      </c>
      <c r="P280" s="56" t="e">
        <f>IF(P$1&lt;=#REF!,-P279/(P$58),"")</f>
        <v>#REF!</v>
      </c>
      <c r="Q280" s="56" t="e">
        <f>IF(Q$1&lt;=#REF!,-Q279/(Q$58),"")</f>
        <v>#REF!</v>
      </c>
      <c r="R280" s="56" t="e">
        <f>IF(R$1&lt;=#REF!,-R279/(R$58),"")</f>
        <v>#REF!</v>
      </c>
      <c r="S280" s="56" t="e">
        <f>IF(S$1&lt;=#REF!,-S279/(S$58),"")</f>
        <v>#REF!</v>
      </c>
      <c r="T280" s="56" t="e">
        <f>IF(T$1&lt;=#REF!,-T279/(T$58),"")</f>
        <v>#REF!</v>
      </c>
      <c r="U280" s="56" t="e">
        <f>IF(U$1&lt;=#REF!,-U279/(U$58),"")</f>
        <v>#REF!</v>
      </c>
      <c r="V280" s="56" t="e">
        <f>IF(V$1&lt;=#REF!,-V279/(V$58),"")</f>
        <v>#REF!</v>
      </c>
      <c r="W280" s="56" t="e">
        <f>IF(W$1&lt;=#REF!,-W279/(W$58),"")</f>
        <v>#REF!</v>
      </c>
      <c r="X280" s="56" t="e">
        <f>IF(X$1&lt;=#REF!,-X279/(X$58),"")</f>
        <v>#REF!</v>
      </c>
      <c r="Y280" s="56" t="e">
        <f>-Y279/(Y$58)</f>
        <v>#DIV/0!</v>
      </c>
      <c r="AA280" s="56" t="e">
        <f>-AA279/(AA$58)</f>
        <v>#REF!</v>
      </c>
      <c r="AB280" s="57"/>
      <c r="AD280" s="56" t="e">
        <f>-AD279/(AD$58)</f>
        <v>#REF!</v>
      </c>
      <c r="AE280" s="57"/>
    </row>
    <row r="281" spans="1:33" ht="6.95" customHeight="1" x14ac:dyDescent="0.2">
      <c r="C281" s="4"/>
      <c r="D281" s="4"/>
      <c r="F281" s="96"/>
      <c r="H281" s="16"/>
      <c r="I281" s="16"/>
      <c r="J281" s="16"/>
      <c r="K281" s="85"/>
      <c r="L281" s="85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AA281" s="16"/>
      <c r="AB281" s="20"/>
      <c r="AD281" s="16"/>
      <c r="AE281" s="20"/>
    </row>
    <row r="282" spans="1:33" ht="18" customHeight="1" x14ac:dyDescent="0.2">
      <c r="A282" s="30" t="s">
        <v>19</v>
      </c>
      <c r="B282" s="30" t="s">
        <v>25</v>
      </c>
      <c r="C282" s="4" t="e">
        <f>IF(AND($Y282=0,AA282=0),0,IF(AA282=0,IF($Y282&gt;=0,AB282/$Y282,-AB282/$Y282),IF(AA282&gt;=0,AB282/AA282,-AB282/AA282)))</f>
        <v>#REF!</v>
      </c>
      <c r="D282" s="4" t="e">
        <f>IF(AND($Y282=0,AD282=0),0,IF(AD282=0,IF($Y282&gt;=0,AE282/$Y282,-AE282/$Y282),IF(AD282&gt;=0,AE282/AD282,-AE282/AD282)))</f>
        <v>#REF!</v>
      </c>
      <c r="F282" s="104" t="s">
        <v>255</v>
      </c>
      <c r="G282" s="36"/>
      <c r="H282" s="65">
        <f>_xll.GetCtData("PKAMOUNT","AMOUNT",$A$1:$A$3,$A282:$B282,H$3:H$5,"#-0,257")</f>
        <v>-0.25700000000000001</v>
      </c>
      <c r="I282" s="65">
        <f>_xll.GetCtData("PKAMOUNT","AMOUNT",$A$1:$A$3,$A282:$B282,I$3:I$5,"#-0,456")</f>
        <v>-0.45600000000000002</v>
      </c>
      <c r="J282" s="65">
        <f>_xll.GetCtData("PKAMOUNT","AMOUNT",$A$1:$A$3,$A282:$B282,J$3:J$5,"#-0,456")</f>
        <v>-0.45600000000000002</v>
      </c>
      <c r="K282" s="65">
        <f>_xll.GetCtData("PKAMOUNT","AMOUNT",$A$1:$A$3,$A282:$B282,K$3:K$5,"#")</f>
        <v>0</v>
      </c>
      <c r="L282" s="65">
        <f>_xll.GetCtData("PKAMOUNT","AMOUNT",$A$1:$A$3,$A282:$B282,L$3:L$5,"#")</f>
        <v>0</v>
      </c>
      <c r="M282" s="65">
        <f>_xll.GetCtData("PKAMOUNT","AMOUNT",$A$1:$A$3,$A282:$B282,M$3:M$5,"#")</f>
        <v>0</v>
      </c>
      <c r="N282" s="65" t="e">
        <f>IF(N$1&lt;=#REF!,_xll.GetCtData("PKAMOUNT","AMOUNT",$A$1:$A$3,$A282:$B282,N$3:N$5,"#")-SUM($M282:M282),0)</f>
        <v>#REF!</v>
      </c>
      <c r="O282" s="65" t="e">
        <f>IF(O$1&lt;=#REF!,_xll.GetCtData("PKAMOUNT","AMOUNT",$A$1:$A$3,$A282:$B282,O$3:O$5,"#")-SUM($M282:N282),0)</f>
        <v>#REF!</v>
      </c>
      <c r="P282" s="65" t="e">
        <f>IF(P$1&lt;=#REF!,_xll.GetCtData("PKAMOUNT","AMOUNT",$A$1:$A$3,$A282:$B282,P$3:P$5,"#")-SUM($M282:O282),0)</f>
        <v>#REF!</v>
      </c>
      <c r="Q282" s="65" t="e">
        <f>IF(Q$1&lt;=#REF!,_xll.GetCtData("PKAMOUNT","AMOUNT",$A$1:$A$3,$A282:$B282,Q$3:Q$5,"#")-SUM($M282:P282),0)</f>
        <v>#REF!</v>
      </c>
      <c r="R282" s="65" t="e">
        <f>IF(R$1&lt;=#REF!,_xll.GetCtData("PKAMOUNT","AMOUNT",$A$1:$A$3,$A282:$B282,R$3:R$5,"#")-SUM($M282:Q282),0)</f>
        <v>#REF!</v>
      </c>
      <c r="S282" s="65" t="e">
        <f>IF(S$1&lt;=#REF!,_xll.GetCtData("PKAMOUNT","AMOUNT",$A$1:$A$3,$A282:$B282,S$3:S$5,"#")-SUM($M282:R282),0)</f>
        <v>#REF!</v>
      </c>
      <c r="T282" s="65" t="e">
        <f>IF(T$1&lt;=#REF!,_xll.GetCtData("PKAMOUNT","AMOUNT",$A$1:$A$3,$A282:$B282,T$3:T$5,"#")-SUM($M282:S282),0)</f>
        <v>#REF!</v>
      </c>
      <c r="U282" s="65" t="e">
        <f>IF(U$1&lt;=#REF!,_xll.GetCtData("PKAMOUNT","AMOUNT",$A$1:$A$3,$A282:$B282,U$3:U$5,"#")-SUM($M282:T282),0)</f>
        <v>#REF!</v>
      </c>
      <c r="V282" s="65" t="e">
        <f>IF(V$1&lt;=#REF!,_xll.GetCtData("PKAMOUNT","AMOUNT",$A$1:$A$3,$A282:$B282,V$3:V$5,"#")-SUM($M282:U282),0)</f>
        <v>#REF!</v>
      </c>
      <c r="W282" s="65" t="e">
        <f>IF(W$1&lt;=#REF!,_xll.GetCtData("PKAMOUNT","AMOUNT",$A$1:$A$3,$A282:$B282,W$3:W$5,"#")-SUM($M282:V282),0)</f>
        <v>#REF!</v>
      </c>
      <c r="X282" s="65" t="e">
        <f>IF(X$1&lt;=#REF!,_xll.GetCtData("PKAMOUNT","AMOUNT",$A$1:$A$3,$A282:$B282,X$3:X$5,"#")-SUM($M282:W282),0)</f>
        <v>#REF!</v>
      </c>
      <c r="Y282" s="65">
        <f>_xll.GetCtData("PKAMOUNT","AMOUNT",$A$1:$A$3,$A282:$B282,Y$3:Y$5,"#")</f>
        <v>0</v>
      </c>
      <c r="Z282" s="36"/>
      <c r="AA282" s="65" t="e">
        <f>$K282*#REF!/12</f>
        <v>#REF!</v>
      </c>
      <c r="AB282" s="60" t="e">
        <f>ROUND($Y282-AA282,2)</f>
        <v>#REF!</v>
      </c>
      <c r="AC282" s="36"/>
      <c r="AD282" s="65" t="e">
        <f>$L282*#REF!/12</f>
        <v>#REF!</v>
      </c>
      <c r="AE282" s="60" t="e">
        <f>ROUND($Y282-AD282,2)</f>
        <v>#REF!</v>
      </c>
    </row>
    <row r="283" spans="1:33" ht="12.95" customHeight="1" x14ac:dyDescent="0.2">
      <c r="A283" s="35"/>
      <c r="B283" s="35"/>
      <c r="C283" s="4"/>
      <c r="D283" s="4"/>
      <c r="F283" s="39" t="s">
        <v>223</v>
      </c>
      <c r="H283" s="56">
        <f>-H282/(H$58)</f>
        <v>-6.718778594023686E-3</v>
      </c>
      <c r="I283" s="56">
        <f t="shared" ref="I283:L283" si="180">-I282/(I$58)</f>
        <v>-2.8006387421692668E-2</v>
      </c>
      <c r="J283" s="56">
        <f t="shared" si="180"/>
        <v>-2.8006387421692668E-2</v>
      </c>
      <c r="K283" s="109" t="e">
        <f t="shared" si="180"/>
        <v>#DIV/0!</v>
      </c>
      <c r="L283" s="109" t="e">
        <f t="shared" si="180"/>
        <v>#DIV/0!</v>
      </c>
      <c r="M283" s="56" t="e">
        <f>-M282/(M$58)</f>
        <v>#DIV/0!</v>
      </c>
      <c r="N283" s="56" t="e">
        <f>IF(N$1&lt;=#REF!,-N282/(N$58),"")</f>
        <v>#REF!</v>
      </c>
      <c r="O283" s="56" t="e">
        <f>IF(O$1&lt;=#REF!,-O282/(O$58),"")</f>
        <v>#REF!</v>
      </c>
      <c r="P283" s="56" t="e">
        <f>IF(P$1&lt;=#REF!,-P282/(P$58),"")</f>
        <v>#REF!</v>
      </c>
      <c r="Q283" s="56" t="e">
        <f>IF(Q$1&lt;=#REF!,-Q282/(Q$58),"")</f>
        <v>#REF!</v>
      </c>
      <c r="R283" s="56" t="e">
        <f>IF(R$1&lt;=#REF!,-R282/(R$58),"")</f>
        <v>#REF!</v>
      </c>
      <c r="S283" s="56" t="e">
        <f>IF(S$1&lt;=#REF!,-S282/(S$58),"")</f>
        <v>#REF!</v>
      </c>
      <c r="T283" s="56" t="e">
        <f>IF(T$1&lt;=#REF!,-T282/(T$58),"")</f>
        <v>#REF!</v>
      </c>
      <c r="U283" s="56" t="e">
        <f>IF(U$1&lt;=#REF!,-U282/(U$58),"")</f>
        <v>#REF!</v>
      </c>
      <c r="V283" s="56" t="e">
        <f>IF(V$1&lt;=#REF!,-V282/(V$58),"")</f>
        <v>#REF!</v>
      </c>
      <c r="W283" s="56" t="e">
        <f>IF(W$1&lt;=#REF!,-W282/(W$58),"")</f>
        <v>#REF!</v>
      </c>
      <c r="X283" s="56" t="e">
        <f>IF(X$1&lt;=#REF!,-X282/(X$58),"")</f>
        <v>#REF!</v>
      </c>
      <c r="Y283" s="56" t="e">
        <f>-Y282/(Y$58)</f>
        <v>#DIV/0!</v>
      </c>
      <c r="AA283" s="56" t="e">
        <f>-AA282/(AA$58)</f>
        <v>#REF!</v>
      </c>
      <c r="AB283" s="57"/>
      <c r="AD283" s="56" t="e">
        <f>-AD282/(AD$58)</f>
        <v>#REF!</v>
      </c>
      <c r="AE283" s="57"/>
    </row>
    <row r="284" spans="1:33" ht="6.95" customHeight="1" x14ac:dyDescent="0.2">
      <c r="C284" s="4"/>
      <c r="D284" s="4"/>
      <c r="F284" s="96"/>
      <c r="H284" s="16"/>
      <c r="I284" s="16"/>
      <c r="J284" s="16"/>
      <c r="K284" s="85"/>
      <c r="L284" s="85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AA284" s="16"/>
      <c r="AB284" s="20"/>
      <c r="AD284" s="16"/>
      <c r="AE284" s="20"/>
    </row>
    <row r="285" spans="1:33" s="40" customFormat="1" ht="18" customHeight="1" x14ac:dyDescent="0.2">
      <c r="A285" s="35"/>
      <c r="B285" s="35"/>
      <c r="C285" s="4" t="e">
        <f>IF(AND($Y285=0,AA285=0),0,IF(AA285=0,IF($Y285&gt;=0,AB285/$Y285,-AB285/$Y285),IF(AA285&gt;=0,AB285/AA285,-AB285/AA285)))</f>
        <v>#REF!</v>
      </c>
      <c r="D285" s="4" t="e">
        <f>IF(AND($Y285=0,AD285=0),0,IF(AD285=0,IF($Y285&gt;=0,AE285/$Y285,-AE285/$Y285),IF(AD285&gt;=0,AE285/AD285,-AE285/AD285)))</f>
        <v>#REF!</v>
      </c>
      <c r="E285" s="8"/>
      <c r="F285" s="100" t="s">
        <v>279</v>
      </c>
      <c r="G285" s="8"/>
      <c r="H285" s="62">
        <f t="shared" ref="H285:Y285" si="181">H207+H246+H233+H279+H282</f>
        <v>69.888000000000005</v>
      </c>
      <c r="I285" s="62">
        <f t="shared" si="181"/>
        <v>17.289000000000001</v>
      </c>
      <c r="J285" s="62">
        <f t="shared" si="181"/>
        <v>17.289000000000001</v>
      </c>
      <c r="K285" s="108">
        <f t="shared" si="181"/>
        <v>0</v>
      </c>
      <c r="L285" s="108">
        <f t="shared" si="181"/>
        <v>0</v>
      </c>
      <c r="M285" s="62">
        <f t="shared" si="181"/>
        <v>0</v>
      </c>
      <c r="N285" s="62" t="e">
        <f t="shared" si="181"/>
        <v>#REF!</v>
      </c>
      <c r="O285" s="62" t="e">
        <f t="shared" si="181"/>
        <v>#REF!</v>
      </c>
      <c r="P285" s="62" t="e">
        <f t="shared" si="181"/>
        <v>#REF!</v>
      </c>
      <c r="Q285" s="62" t="e">
        <f t="shared" si="181"/>
        <v>#REF!</v>
      </c>
      <c r="R285" s="62" t="e">
        <f t="shared" si="181"/>
        <v>#REF!</v>
      </c>
      <c r="S285" s="62" t="e">
        <f t="shared" ref="S285:T285" si="182">S207+S246+S233+S279+S282</f>
        <v>#REF!</v>
      </c>
      <c r="T285" s="62" t="e">
        <f t="shared" si="182"/>
        <v>#REF!</v>
      </c>
      <c r="U285" s="62" t="e">
        <f t="shared" si="181"/>
        <v>#REF!</v>
      </c>
      <c r="V285" s="62" t="e">
        <f t="shared" si="181"/>
        <v>#REF!</v>
      </c>
      <c r="W285" s="62" t="e">
        <f t="shared" si="181"/>
        <v>#REF!</v>
      </c>
      <c r="X285" s="62" t="e">
        <f t="shared" si="181"/>
        <v>#REF!</v>
      </c>
      <c r="Y285" s="62">
        <f t="shared" si="181"/>
        <v>0</v>
      </c>
      <c r="Z285" s="8"/>
      <c r="AA285" s="62" t="e">
        <f>$K285*#REF!/12</f>
        <v>#REF!</v>
      </c>
      <c r="AB285" s="60" t="e">
        <f>ROUND($Y285-AA285,2)</f>
        <v>#REF!</v>
      </c>
      <c r="AC285" s="8"/>
      <c r="AD285" s="62" t="e">
        <f>$L285*#REF!/12</f>
        <v>#REF!</v>
      </c>
      <c r="AE285" s="60" t="e">
        <f>ROUND($Y285-AD285,2)</f>
        <v>#REF!</v>
      </c>
      <c r="AG285" s="41"/>
    </row>
    <row r="286" spans="1:33" ht="12.95" customHeight="1" x14ac:dyDescent="0.2">
      <c r="A286" s="35"/>
      <c r="B286" s="35"/>
      <c r="C286" s="4"/>
      <c r="D286" s="4"/>
      <c r="F286" s="39" t="s">
        <v>223</v>
      </c>
      <c r="H286" s="56">
        <f>-H285/(H$58)</f>
        <v>1.8270894878565269</v>
      </c>
      <c r="I286" s="56">
        <f t="shared" ref="I286:L286" si="183">-I285/(I$58)</f>
        <v>1.0618474388895713</v>
      </c>
      <c r="J286" s="56">
        <f t="shared" si="183"/>
        <v>1.0618474388895713</v>
      </c>
      <c r="K286" s="109" t="e">
        <f t="shared" si="183"/>
        <v>#DIV/0!</v>
      </c>
      <c r="L286" s="109" t="e">
        <f t="shared" si="183"/>
        <v>#DIV/0!</v>
      </c>
      <c r="M286" s="56" t="e">
        <f>-M285/(M$58)</f>
        <v>#DIV/0!</v>
      </c>
      <c r="N286" s="56" t="e">
        <f>IF(N$1&lt;=#REF!,-N285/(N$58),"")</f>
        <v>#REF!</v>
      </c>
      <c r="O286" s="56" t="e">
        <f>IF(O$1&lt;=#REF!,-O285/(O$58),"")</f>
        <v>#REF!</v>
      </c>
      <c r="P286" s="56" t="e">
        <f>IF(P$1&lt;=#REF!,-P285/(P$58),"")</f>
        <v>#REF!</v>
      </c>
      <c r="Q286" s="56" t="e">
        <f>IF(Q$1&lt;=#REF!,-Q285/(Q$58),"")</f>
        <v>#REF!</v>
      </c>
      <c r="R286" s="56" t="e">
        <f>IF(R$1&lt;=#REF!,-R285/(R$58),"")</f>
        <v>#REF!</v>
      </c>
      <c r="S286" s="56" t="e">
        <f>IF(S$1&lt;=#REF!,-S285/(S$58),"")</f>
        <v>#REF!</v>
      </c>
      <c r="T286" s="56" t="e">
        <f>IF(T$1&lt;=#REF!,-T285/(T$58),"")</f>
        <v>#REF!</v>
      </c>
      <c r="U286" s="56" t="e">
        <f>IF(U$1&lt;=#REF!,-U285/(U$58),"")</f>
        <v>#REF!</v>
      </c>
      <c r="V286" s="56" t="e">
        <f>IF(V$1&lt;=#REF!,-V285/(V$58),"")</f>
        <v>#REF!</v>
      </c>
      <c r="W286" s="56" t="e">
        <f>IF(W$1&lt;=#REF!,-W285/(W$58),"")</f>
        <v>#REF!</v>
      </c>
      <c r="X286" s="56" t="e">
        <f>IF(X$1&lt;=#REF!,-X285/(X$58),"")</f>
        <v>#REF!</v>
      </c>
      <c r="Y286" s="56" t="e">
        <f>-Y285/(Y$58)</f>
        <v>#DIV/0!</v>
      </c>
      <c r="AA286" s="56" t="e">
        <f>-AA285/(AA$58)</f>
        <v>#REF!</v>
      </c>
      <c r="AB286" s="57"/>
      <c r="AD286" s="56" t="e">
        <f>-AD285/(AD$58)</f>
        <v>#REF!</v>
      </c>
      <c r="AE286" s="57"/>
    </row>
    <row r="287" spans="1:33" ht="6.95" customHeight="1" x14ac:dyDescent="0.2">
      <c r="C287" s="4"/>
      <c r="D287" s="4"/>
      <c r="F287" s="96"/>
      <c r="H287" s="16"/>
      <c r="I287" s="16"/>
      <c r="J287" s="16"/>
      <c r="K287" s="85"/>
      <c r="L287" s="85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AA287" s="16"/>
      <c r="AB287" s="20"/>
      <c r="AD287" s="16"/>
      <c r="AE287" s="20"/>
    </row>
    <row r="288" spans="1:33" s="40" customFormat="1" ht="18" customHeight="1" x14ac:dyDescent="0.2">
      <c r="A288" s="35"/>
      <c r="B288" s="35"/>
      <c r="C288" s="4" t="e">
        <f>IF(AND($Y288=0,AA288=0),0,IF(AA288=0,IF($Y288&gt;=0,AB288/$Y288,-AB288/$Y288),IF(AA288&gt;=0,AB288/AA288,-AB288/AA288)))</f>
        <v>#REF!</v>
      </c>
      <c r="D288" s="4" t="e">
        <f>IF(AND($Y288=0,AD288=0),0,IF(AD288=0,IF($Y288&gt;=0,AE288/$Y288,-AE288/$Y288),IF(AD288&gt;=0,AE288/AD288,-AE288/AD288)))</f>
        <v>#REF!</v>
      </c>
      <c r="E288" s="8"/>
      <c r="F288" s="101" t="s">
        <v>23</v>
      </c>
      <c r="G288" s="8"/>
      <c r="H288" s="77">
        <f t="shared" ref="H288:Y288" si="184">H189+H285</f>
        <v>154.79900000000001</v>
      </c>
      <c r="I288" s="77">
        <f t="shared" si="184"/>
        <v>0.54300000000000281</v>
      </c>
      <c r="J288" s="77">
        <f t="shared" si="184"/>
        <v>0.54300000000000281</v>
      </c>
      <c r="K288" s="114">
        <f t="shared" si="184"/>
        <v>0</v>
      </c>
      <c r="L288" s="114">
        <f t="shared" si="184"/>
        <v>0</v>
      </c>
      <c r="M288" s="77">
        <f t="shared" si="184"/>
        <v>-1.7000000000000001E-2</v>
      </c>
      <c r="N288" s="77" t="e">
        <f t="shared" si="184"/>
        <v>#REF!</v>
      </c>
      <c r="O288" s="77" t="e">
        <f t="shared" si="184"/>
        <v>#REF!</v>
      </c>
      <c r="P288" s="77" t="e">
        <f t="shared" si="184"/>
        <v>#REF!</v>
      </c>
      <c r="Q288" s="77" t="e">
        <f t="shared" si="184"/>
        <v>#REF!</v>
      </c>
      <c r="R288" s="77" t="e">
        <f t="shared" si="184"/>
        <v>#REF!</v>
      </c>
      <c r="S288" s="77" t="e">
        <f t="shared" ref="S288:T288" si="185">S189+S285</f>
        <v>#REF!</v>
      </c>
      <c r="T288" s="77" t="e">
        <f t="shared" si="185"/>
        <v>#REF!</v>
      </c>
      <c r="U288" s="77" t="e">
        <f t="shared" si="184"/>
        <v>#REF!</v>
      </c>
      <c r="V288" s="77" t="e">
        <f t="shared" si="184"/>
        <v>#REF!</v>
      </c>
      <c r="W288" s="77" t="e">
        <f t="shared" si="184"/>
        <v>#REF!</v>
      </c>
      <c r="X288" s="77" t="e">
        <f t="shared" si="184"/>
        <v>#REF!</v>
      </c>
      <c r="Y288" s="77">
        <f t="shared" si="184"/>
        <v>-0.187</v>
      </c>
      <c r="Z288" s="8"/>
      <c r="AA288" s="77" t="e">
        <f>$K288*#REF!/12</f>
        <v>#REF!</v>
      </c>
      <c r="AB288" s="60" t="e">
        <f>ROUND($Y288-AA288,2)</f>
        <v>#REF!</v>
      </c>
      <c r="AC288" s="8"/>
      <c r="AD288" s="77" t="e">
        <f>$L288*#REF!/12</f>
        <v>#REF!</v>
      </c>
      <c r="AE288" s="60" t="e">
        <f>ROUND($Y288-AD288,2)</f>
        <v>#REF!</v>
      </c>
    </row>
    <row r="289" spans="1:33" ht="12.95" customHeight="1" x14ac:dyDescent="0.2">
      <c r="A289" s="35"/>
      <c r="B289" s="35"/>
      <c r="C289" s="4"/>
      <c r="D289" s="4"/>
      <c r="F289" s="39" t="s">
        <v>223</v>
      </c>
      <c r="H289" s="56">
        <f t="shared" ref="H289:M289" si="186">H288/(H$58)</f>
        <v>-4.0469268777286871</v>
      </c>
      <c r="I289" s="56">
        <f t="shared" si="186"/>
        <v>-3.3349711337673678E-2</v>
      </c>
      <c r="J289" s="56">
        <f t="shared" si="186"/>
        <v>-3.3349711337673678E-2</v>
      </c>
      <c r="K289" s="109" t="e">
        <f t="shared" si="186"/>
        <v>#DIV/0!</v>
      </c>
      <c r="L289" s="109" t="e">
        <f t="shared" si="186"/>
        <v>#DIV/0!</v>
      </c>
      <c r="M289" s="56" t="e">
        <f t="shared" si="186"/>
        <v>#DIV/0!</v>
      </c>
      <c r="N289" s="56" t="e">
        <f>IF(N$1&lt;=#REF!,N288/(N$58),"")</f>
        <v>#REF!</v>
      </c>
      <c r="O289" s="56" t="e">
        <f>IF(O$1&lt;=#REF!,O288/(O$58),"")</f>
        <v>#REF!</v>
      </c>
      <c r="P289" s="56" t="e">
        <f>IF(P$1&lt;=#REF!,P288/(P$58),"")</f>
        <v>#REF!</v>
      </c>
      <c r="Q289" s="56" t="e">
        <f>IF(Q$1&lt;=#REF!,Q288/(Q$58),"")</f>
        <v>#REF!</v>
      </c>
      <c r="R289" s="56" t="e">
        <f>IF(R$1&lt;=#REF!,R288/(R$58),"")</f>
        <v>#REF!</v>
      </c>
      <c r="S289" s="56" t="e">
        <f>IF(S$1&lt;=#REF!,S288/(S$58),"")</f>
        <v>#REF!</v>
      </c>
      <c r="T289" s="56" t="e">
        <f>IF(T$1&lt;=#REF!,T288/(T$58),"")</f>
        <v>#REF!</v>
      </c>
      <c r="U289" s="56" t="e">
        <f>IF(U$1&lt;=#REF!,U288/(U$58),"")</f>
        <v>#REF!</v>
      </c>
      <c r="V289" s="56" t="e">
        <f>IF(V$1&lt;=#REF!,V288/(V$58),"")</f>
        <v>#REF!</v>
      </c>
      <c r="W289" s="56" t="e">
        <f>IF(W$1&lt;=#REF!,W288/(W$58),"")</f>
        <v>#REF!</v>
      </c>
      <c r="X289" s="56" t="e">
        <f>IF(X$1&lt;=#REF!,X288/(X$58),"")</f>
        <v>#REF!</v>
      </c>
      <c r="Y289" s="56" t="e">
        <f>Y288/(Y$58)</f>
        <v>#DIV/0!</v>
      </c>
      <c r="AA289" s="56" t="e">
        <f>AA288/(AA$58)</f>
        <v>#REF!</v>
      </c>
      <c r="AB289" s="57"/>
      <c r="AD289" s="56" t="e">
        <f>AD288/(AD$58)</f>
        <v>#REF!</v>
      </c>
      <c r="AE289" s="57"/>
    </row>
    <row r="290" spans="1:33" s="11" customFormat="1" x14ac:dyDescent="0.2">
      <c r="A290" s="8"/>
      <c r="B290" s="8"/>
      <c r="C290" s="8"/>
      <c r="D290" s="8"/>
      <c r="AF290" s="8"/>
      <c r="AG290" s="8"/>
    </row>
    <row r="291" spans="1:33" s="11" customFormat="1" x14ac:dyDescent="0.2">
      <c r="A291" s="8"/>
      <c r="B291" s="8"/>
      <c r="C291" s="8"/>
      <c r="D291" s="8"/>
      <c r="AF291" s="8"/>
      <c r="AG291" s="8"/>
    </row>
    <row r="292" spans="1:33" s="11" customFormat="1" x14ac:dyDescent="0.2">
      <c r="A292" s="8"/>
      <c r="B292" s="8"/>
      <c r="C292" s="8"/>
      <c r="D292" s="8"/>
      <c r="AF292" s="8"/>
      <c r="AG292" s="8"/>
    </row>
    <row r="293" spans="1:33" s="11" customFormat="1" x14ac:dyDescent="0.2">
      <c r="A293" s="8"/>
      <c r="B293" s="8"/>
      <c r="C293" s="8"/>
      <c r="D293" s="8"/>
      <c r="AF293" s="8"/>
      <c r="AG293" s="8"/>
    </row>
    <row r="294" spans="1:33" s="11" customFormat="1" x14ac:dyDescent="0.2">
      <c r="A294" s="8"/>
      <c r="B294" s="8"/>
      <c r="C294" s="8"/>
      <c r="D294" s="8"/>
      <c r="AF294" s="8"/>
      <c r="AG294" s="8"/>
    </row>
    <row r="295" spans="1:33" s="11" customFormat="1" x14ac:dyDescent="0.2">
      <c r="A295" s="8"/>
      <c r="B295" s="8"/>
      <c r="C295" s="8"/>
      <c r="D295" s="8"/>
      <c r="AF295" s="8"/>
      <c r="AG295" s="8"/>
    </row>
    <row r="296" spans="1:33" s="11" customFormat="1" x14ac:dyDescent="0.2">
      <c r="A296" s="8"/>
      <c r="B296" s="8"/>
      <c r="C296" s="8"/>
      <c r="D296" s="8"/>
      <c r="AF296" s="8"/>
      <c r="AG296" s="8"/>
    </row>
    <row r="297" spans="1:33" s="11" customFormat="1" x14ac:dyDescent="0.2">
      <c r="A297" s="8"/>
      <c r="B297" s="8"/>
      <c r="C297" s="8"/>
      <c r="D297" s="8"/>
      <c r="AF297" s="8"/>
      <c r="AG297" s="8"/>
    </row>
    <row r="298" spans="1:33" s="11" customFormat="1" x14ac:dyDescent="0.2">
      <c r="A298" s="8"/>
      <c r="B298" s="8"/>
      <c r="C298" s="8"/>
      <c r="D298" s="8"/>
      <c r="AF298" s="8"/>
      <c r="AG298" s="8"/>
    </row>
    <row r="299" spans="1:33" s="11" customFormat="1" x14ac:dyDescent="0.2">
      <c r="A299" s="8"/>
      <c r="B299" s="8"/>
      <c r="C299" s="8"/>
      <c r="D299" s="8"/>
      <c r="AF299" s="8"/>
      <c r="AG299" s="8"/>
    </row>
    <row r="300" spans="1:33" s="11" customFormat="1" x14ac:dyDescent="0.2">
      <c r="A300" s="8"/>
      <c r="B300" s="8"/>
      <c r="C300" s="8"/>
      <c r="D300" s="8"/>
      <c r="AF300" s="8"/>
      <c r="AG300" s="8"/>
    </row>
    <row r="301" spans="1:33" s="11" customFormat="1" x14ac:dyDescent="0.2">
      <c r="A301" s="8"/>
      <c r="B301" s="8"/>
      <c r="C301" s="8"/>
      <c r="D301" s="8"/>
      <c r="AF301" s="8"/>
      <c r="AG301" s="8"/>
    </row>
    <row r="302" spans="1:33" s="11" customFormat="1" x14ac:dyDescent="0.2">
      <c r="A302" s="8"/>
      <c r="B302" s="8"/>
      <c r="C302" s="8"/>
      <c r="D302" s="8"/>
      <c r="AF302" s="8"/>
      <c r="AG302" s="8"/>
    </row>
    <row r="303" spans="1:33" s="11" customFormat="1" x14ac:dyDescent="0.2">
      <c r="A303" s="8"/>
      <c r="B303" s="8"/>
      <c r="C303" s="8"/>
      <c r="D303" s="8"/>
      <c r="AF303" s="8"/>
      <c r="AG303" s="8"/>
    </row>
    <row r="304" spans="1:33" s="11" customFormat="1" x14ac:dyDescent="0.2">
      <c r="A304" s="8"/>
      <c r="B304" s="8"/>
      <c r="C304" s="8"/>
      <c r="D304" s="8"/>
      <c r="AF304" s="8"/>
      <c r="AG304" s="8"/>
    </row>
    <row r="305" spans="1:33" s="11" customFormat="1" x14ac:dyDescent="0.2">
      <c r="A305" s="8"/>
      <c r="B305" s="8"/>
      <c r="C305" s="8"/>
      <c r="D305" s="8"/>
      <c r="AF305" s="8"/>
      <c r="AG305" s="8"/>
    </row>
    <row r="306" spans="1:33" s="11" customFormat="1" x14ac:dyDescent="0.2">
      <c r="A306" s="8"/>
      <c r="B306" s="8"/>
      <c r="C306" s="8"/>
      <c r="D306" s="8"/>
      <c r="AF306" s="8"/>
      <c r="AG306" s="8"/>
    </row>
    <row r="307" spans="1:33" s="11" customFormat="1" x14ac:dyDescent="0.2">
      <c r="A307" s="8"/>
      <c r="B307" s="8"/>
      <c r="C307" s="8"/>
      <c r="D307" s="8"/>
      <c r="AF307" s="8"/>
      <c r="AG307" s="8"/>
    </row>
    <row r="308" spans="1:33" s="11" customFormat="1" x14ac:dyDescent="0.2">
      <c r="A308" s="8"/>
      <c r="B308" s="8"/>
      <c r="C308" s="8"/>
      <c r="D308" s="8"/>
      <c r="AF308" s="8"/>
      <c r="AG308" s="8"/>
    </row>
    <row r="309" spans="1:33" s="11" customFormat="1" x14ac:dyDescent="0.2">
      <c r="A309" s="8"/>
      <c r="B309" s="8"/>
      <c r="C309" s="8"/>
      <c r="D309" s="8"/>
      <c r="AF309" s="8"/>
      <c r="AG309" s="8"/>
    </row>
    <row r="310" spans="1:33" s="11" customFormat="1" x14ac:dyDescent="0.2">
      <c r="A310" s="8"/>
      <c r="B310" s="8"/>
      <c r="C310" s="8"/>
      <c r="D310" s="8"/>
      <c r="AF310" s="8"/>
      <c r="AG310" s="8"/>
    </row>
    <row r="311" spans="1:33" s="11" customFormat="1" x14ac:dyDescent="0.2">
      <c r="A311" s="8"/>
      <c r="B311" s="8"/>
      <c r="C311" s="8"/>
      <c r="D311" s="8"/>
      <c r="AF311" s="8"/>
      <c r="AG311" s="8"/>
    </row>
    <row r="312" spans="1:33" s="11" customFormat="1" x14ac:dyDescent="0.2">
      <c r="A312" s="8"/>
      <c r="B312" s="8"/>
      <c r="C312" s="8"/>
      <c r="D312" s="8"/>
      <c r="AF312" s="8"/>
      <c r="AG312" s="8"/>
    </row>
    <row r="313" spans="1:33" s="11" customFormat="1" x14ac:dyDescent="0.2">
      <c r="A313" s="8"/>
      <c r="B313" s="8"/>
      <c r="C313" s="8"/>
      <c r="D313" s="8"/>
      <c r="AF313" s="8"/>
      <c r="AG313" s="8"/>
    </row>
    <row r="314" spans="1:33" s="11" customFormat="1" x14ac:dyDescent="0.2">
      <c r="A314" s="8"/>
      <c r="B314" s="8"/>
      <c r="C314" s="8"/>
      <c r="D314" s="8"/>
      <c r="AF314" s="8"/>
      <c r="AG314" s="8"/>
    </row>
    <row r="315" spans="1:33" s="11" customFormat="1" x14ac:dyDescent="0.2">
      <c r="A315" s="8"/>
      <c r="B315" s="8"/>
      <c r="C315" s="8"/>
      <c r="D315" s="8"/>
      <c r="AF315" s="8"/>
      <c r="AG315" s="8"/>
    </row>
    <row r="316" spans="1:33" s="11" customFormat="1" x14ac:dyDescent="0.2">
      <c r="A316" s="8"/>
      <c r="B316" s="8"/>
      <c r="C316" s="8"/>
      <c r="D316" s="8"/>
      <c r="AF316" s="8"/>
      <c r="AG316" s="8"/>
    </row>
    <row r="317" spans="1:33" s="11" customFormat="1" x14ac:dyDescent="0.2">
      <c r="A317" s="8"/>
      <c r="B317" s="8"/>
      <c r="C317" s="8"/>
      <c r="D317" s="8"/>
      <c r="AF317" s="8"/>
      <c r="AG317" s="8"/>
    </row>
    <row r="318" spans="1:33" s="11" customFormat="1" x14ac:dyDescent="0.2">
      <c r="A318" s="8"/>
      <c r="B318" s="8"/>
      <c r="C318" s="8"/>
      <c r="D318" s="8"/>
      <c r="AF318" s="8"/>
      <c r="AG318" s="8"/>
    </row>
    <row r="319" spans="1:33" s="11" customFormat="1" x14ac:dyDescent="0.2">
      <c r="A319" s="8"/>
      <c r="B319" s="8"/>
      <c r="C319" s="8"/>
      <c r="D319" s="8"/>
      <c r="AF319" s="8"/>
      <c r="AG319" s="8"/>
    </row>
    <row r="320" spans="1:33" s="11" customFormat="1" x14ac:dyDescent="0.2">
      <c r="A320" s="8"/>
      <c r="B320" s="8"/>
      <c r="C320" s="8"/>
      <c r="D320" s="8"/>
      <c r="AF320" s="8"/>
      <c r="AG320" s="8"/>
    </row>
    <row r="321" spans="1:33" s="11" customFormat="1" x14ac:dyDescent="0.2">
      <c r="A321" s="8"/>
      <c r="B321" s="8"/>
      <c r="C321" s="8"/>
      <c r="D321" s="8"/>
      <c r="AF321" s="8"/>
      <c r="AG321" s="8"/>
    </row>
    <row r="322" spans="1:33" s="11" customFormat="1" x14ac:dyDescent="0.2">
      <c r="A322" s="8"/>
      <c r="B322" s="8"/>
      <c r="C322" s="8"/>
      <c r="D322" s="8"/>
      <c r="AF322" s="8"/>
      <c r="AG322" s="8"/>
    </row>
    <row r="323" spans="1:33" s="11" customFormat="1" x14ac:dyDescent="0.2">
      <c r="A323" s="8"/>
      <c r="B323" s="8"/>
      <c r="C323" s="8"/>
      <c r="D323" s="8"/>
      <c r="AF323" s="8"/>
      <c r="AG323" s="8"/>
    </row>
    <row r="324" spans="1:33" s="11" customFormat="1" x14ac:dyDescent="0.2">
      <c r="A324" s="8"/>
      <c r="B324" s="8"/>
      <c r="C324" s="8"/>
      <c r="D324" s="8"/>
      <c r="AF324" s="8"/>
      <c r="AG324" s="8"/>
    </row>
    <row r="325" spans="1:33" s="11" customFormat="1" x14ac:dyDescent="0.2">
      <c r="A325" s="8"/>
      <c r="B325" s="8"/>
      <c r="C325" s="8"/>
      <c r="D325" s="8"/>
      <c r="AF325" s="8"/>
      <c r="AG325" s="8"/>
    </row>
    <row r="326" spans="1:33" s="11" customFormat="1" x14ac:dyDescent="0.2">
      <c r="A326" s="8"/>
      <c r="B326" s="8"/>
      <c r="C326" s="8"/>
      <c r="D326" s="8"/>
      <c r="AF326" s="8"/>
      <c r="AG326" s="8"/>
    </row>
    <row r="327" spans="1:33" s="11" customFormat="1" x14ac:dyDescent="0.2">
      <c r="A327" s="8"/>
      <c r="B327" s="8"/>
      <c r="C327" s="8"/>
      <c r="D327" s="8"/>
      <c r="AF327" s="8"/>
      <c r="AG327" s="8"/>
    </row>
    <row r="328" spans="1:33" s="11" customFormat="1" x14ac:dyDescent="0.2">
      <c r="A328" s="8"/>
      <c r="B328" s="8"/>
      <c r="C328" s="8"/>
      <c r="D328" s="8"/>
      <c r="AF328" s="8"/>
      <c r="AG328" s="8"/>
    </row>
    <row r="329" spans="1:33" s="11" customFormat="1" x14ac:dyDescent="0.2">
      <c r="A329" s="8"/>
      <c r="B329" s="8"/>
      <c r="C329" s="8"/>
      <c r="D329" s="8"/>
      <c r="AF329" s="8"/>
      <c r="AG329" s="8"/>
    </row>
    <row r="330" spans="1:33" s="11" customFormat="1" x14ac:dyDescent="0.2">
      <c r="A330" s="8"/>
      <c r="B330" s="8"/>
      <c r="C330" s="8"/>
      <c r="D330" s="8"/>
      <c r="AF330" s="8"/>
      <c r="AG330" s="8"/>
    </row>
    <row r="331" spans="1:33" s="11" customFormat="1" x14ac:dyDescent="0.2">
      <c r="A331" s="8"/>
      <c r="B331" s="8"/>
      <c r="C331" s="8"/>
      <c r="D331" s="8"/>
      <c r="AF331" s="8"/>
      <c r="AG331" s="8"/>
    </row>
    <row r="332" spans="1:33" s="11" customFormat="1" x14ac:dyDescent="0.2">
      <c r="A332" s="8"/>
      <c r="B332" s="8"/>
      <c r="C332" s="8"/>
      <c r="D332" s="8"/>
      <c r="AF332" s="8"/>
      <c r="AG332" s="8"/>
    </row>
    <row r="333" spans="1:33" s="11" customFormat="1" x14ac:dyDescent="0.2">
      <c r="A333" s="8"/>
      <c r="B333" s="8"/>
      <c r="C333" s="8"/>
      <c r="D333" s="8"/>
      <c r="AF333" s="8"/>
      <c r="AG333" s="8"/>
    </row>
    <row r="334" spans="1:33" s="11" customFormat="1" x14ac:dyDescent="0.2">
      <c r="A334" s="8"/>
      <c r="B334" s="8"/>
      <c r="C334" s="8"/>
      <c r="D334" s="8"/>
      <c r="AF334" s="8"/>
      <c r="AG334" s="8"/>
    </row>
    <row r="337" spans="1:31" ht="18" customHeight="1" x14ac:dyDescent="0.2">
      <c r="A337" s="30" t="s">
        <v>287</v>
      </c>
      <c r="B337" s="30" t="s">
        <v>17</v>
      </c>
      <c r="C337" s="4" t="e">
        <f>IF(AND($Y337=0,AA337=0),0,IF(AA337=0,IF($Y337&gt;=0,AB337/$Y337,-AB337/$Y337),IF(AA337&gt;=0,AB337/AA337,-AB337/AA337)))</f>
        <v>#REF!</v>
      </c>
      <c r="D337" s="4" t="e">
        <f>IF(AND($Y337=0,AD337=0),0,IF(AD337=0,IF($Y337&gt;=0,AE337/$Y337,-AE337/$Y337),IF(AD337&gt;=0,AE337/AD337,-AE337/AD337)))</f>
        <v>#REF!</v>
      </c>
      <c r="F337" s="106" t="s">
        <v>288</v>
      </c>
      <c r="H337" s="61">
        <f>_xll.GetCtData("PKAMOUNT","AMOUNT",$A$1:$A$3,$A337:$B337,H$3:H$5,"#")</f>
        <v>0</v>
      </c>
      <c r="I337" s="61">
        <f>_xll.GetCtData("PKAMOUNT","AMOUNT",$A$1:$A$3,$A337:$B337,I$3:I$5,"#")</f>
        <v>0</v>
      </c>
      <c r="J337" s="61">
        <f>_xll.GetCtData("PKAMOUNT","AMOUNT",$A$1:$A$3,$A337:$B337,J$3:J$5,"#")</f>
        <v>0</v>
      </c>
      <c r="K337" s="86">
        <f>_xll.GetCtData("PKAMOUNT","AMOUNT",$A$1:$A$3,$A337:$B337,K$3:K$5,"#")</f>
        <v>0</v>
      </c>
      <c r="L337" s="86">
        <f>_xll.GetCtData("PKAMOUNT","AMOUNT",$A$1:$A$3,$A337:$B337,L$3:L$5,"#")</f>
        <v>0</v>
      </c>
      <c r="M337" s="61">
        <f>_xll.GetCtData("PKAMOUNT","AMOUNT",$A$1:$A$3,$A337:$B337,M$3:M$5,"#")</f>
        <v>0</v>
      </c>
      <c r="N337" s="61" t="e">
        <f>IF(N$1&lt;=#REF!,_xll.GetCtData("PKAMOUNT","AMOUNT",$A$1:$A$3,$A337:$B337,N$3:N$5,"#"),0)</f>
        <v>#REF!</v>
      </c>
      <c r="O337" s="61" t="e">
        <f>IF(O$1&lt;=#REF!,_xll.GetCtData("PKAMOUNT","AMOUNT",$A$1:$A$3,$A337:$B337,O$3:O$5,"#"),0)</f>
        <v>#REF!</v>
      </c>
      <c r="P337" s="61" t="e">
        <f>IF(P$1&lt;=#REF!,_xll.GetCtData("PKAMOUNT","AMOUNT",$A$1:$A$3,$A337:$B337,P$3:P$5,"#"),0)</f>
        <v>#REF!</v>
      </c>
      <c r="Q337" s="61" t="e">
        <f>IF(Q$1&lt;=#REF!,_xll.GetCtData("PKAMOUNT","AMOUNT",$A$1:$A$3,$A337:$B337,Q$3:Q$5,"#"),0)</f>
        <v>#REF!</v>
      </c>
      <c r="R337" s="61" t="e">
        <f>IF(R$1&lt;=#REF!,_xll.GetCtData("PKAMOUNT","AMOUNT",$A$1:$A$3,$A337:$B337,R$3:R$5,"#"),0)</f>
        <v>#REF!</v>
      </c>
      <c r="S337" s="61" t="e">
        <f>IF(S$1&lt;=#REF!,_xll.GetCtData("PKAMOUNT","AMOUNT",$A$1:$A$3,$A337:$B337,S$3:S$5,"#"),0)</f>
        <v>#REF!</v>
      </c>
      <c r="T337" s="61" t="e">
        <f>IF(T$1&lt;=#REF!,_xll.GetCtData("PKAMOUNT","AMOUNT",$A$1:$A$3,$A337:$B337,T$3:T$5,"#"),0)</f>
        <v>#REF!</v>
      </c>
      <c r="U337" s="61" t="e">
        <f>IF(U$1&lt;=#REF!,_xll.GetCtData("PKAMOUNT","AMOUNT",$A$1:$A$3,$A337:$B337,U$3:U$5,"#"),0)</f>
        <v>#REF!</v>
      </c>
      <c r="V337" s="61" t="e">
        <f>IF(V$1&lt;=#REF!,_xll.GetCtData("PKAMOUNT","AMOUNT",$A$1:$A$3,$A337:$B337,V$3:V$5,"#"),0)</f>
        <v>#REF!</v>
      </c>
      <c r="W337" s="61" t="e">
        <f>IF(W$1&lt;=#REF!,_xll.GetCtData("PKAMOUNT","AMOUNT",$A$1:$A$3,$A337:$B337,W$3:W$5,"#"),0)</f>
        <v>#REF!</v>
      </c>
      <c r="X337" s="61" t="e">
        <f>IF(X$1&lt;=#REF!,_xll.GetCtData("PKAMOUNT","AMOUNT",$A$1:$A$3,$A337:$B337,X$3:X$5,"#"),0)</f>
        <v>#REF!</v>
      </c>
      <c r="Y337" s="61" t="e">
        <f>IF(Y$1&lt;=#REF!,_xll.GetCtData("PKAMOUNT","AMOUNT",$A$1:$A$3,$A337:$B337,Y$3:Y$5,"#"),0)</f>
        <v>#REF!</v>
      </c>
      <c r="AA337" s="61">
        <f>$K337</f>
        <v>0</v>
      </c>
      <c r="AB337" s="20"/>
      <c r="AD337" s="61">
        <f>$L337</f>
        <v>0</v>
      </c>
      <c r="AE337" s="20"/>
    </row>
    <row r="338" spans="1:31" ht="18" hidden="1" customHeight="1" outlineLevel="1" x14ac:dyDescent="0.2">
      <c r="A338" s="30" t="s">
        <v>291</v>
      </c>
      <c r="B338" s="30" t="s">
        <v>17</v>
      </c>
      <c r="C338" s="4" t="e">
        <f>IF(AND($Y338=0,AA338=0),0,IF(AA338=0,IF($Y338&gt;=0,AB338/$Y338,-AB338/$Y338),IF(AA338&gt;=0,AB338/AA338,-AB338/AA338)))</f>
        <v>#REF!</v>
      </c>
      <c r="D338" s="4" t="e">
        <f>IF(AND($Y338=0,AD338=0),0,IF(AD338=0,IF($Y338&gt;=0,AE338/$Y338,-AE338/$Y338),IF(AD338&gt;=0,AE338/AD338,-AE338/AD338)))</f>
        <v>#REF!</v>
      </c>
      <c r="F338" s="106" t="s">
        <v>290</v>
      </c>
      <c r="H338" s="61">
        <f>ABS(_xll.GetCtData("PKAMOUNT","AMOUNT",$A$1:$A$3,$A338:$B338,H$3:H$5,"#"))</f>
        <v>0</v>
      </c>
      <c r="I338" s="61">
        <f>ABS(_xll.GetCtData("PKAMOUNT","AMOUNT",$A$1:$A$3,$A338:$B338,I$3:I$5,"#"))</f>
        <v>0</v>
      </c>
      <c r="J338" s="61">
        <f>ABS(_xll.GetCtData("PKAMOUNT","AMOUNT",$A$1:$A$3,$A338:$B338,J$3:J$5,"#"))</f>
        <v>0</v>
      </c>
      <c r="K338" s="86">
        <f>ABS(_xll.GetCtData("PKAMOUNT","AMOUNT",$A$1:$A$3,$A338:$B338,K$3:K$5,"#"))</f>
        <v>0</v>
      </c>
      <c r="L338" s="86">
        <f>ABS(_xll.GetCtData("PKAMOUNT","AMOUNT",$A$1:$A$3,$A338:$B338,L$3:L$5,"#"))</f>
        <v>0</v>
      </c>
      <c r="M338" s="61">
        <f>ABS(_xll.GetCtData("PKAMOUNT","AMOUNT",$A$1:$A$3,$A338:$B338,M$3:M$5,"#"))</f>
        <v>0</v>
      </c>
      <c r="N338" s="61" t="e">
        <f>ABS(IF(N$1&lt;=#REF!,_xll.GetCtData("PKAMOUNT","AMOUNT",$A$1:$A$3,$A338:$B338,N$3:N$5,"#"),0))</f>
        <v>#REF!</v>
      </c>
      <c r="O338" s="61" t="e">
        <f>ABS(IF(O$1&lt;=#REF!,_xll.GetCtData("PKAMOUNT","AMOUNT",$A$1:$A$3,$A338:$B338,O$3:O$5,"#"),0))</f>
        <v>#REF!</v>
      </c>
      <c r="P338" s="61" t="e">
        <f>ABS(IF(P$1&lt;=#REF!,_xll.GetCtData("PKAMOUNT","AMOUNT",$A$1:$A$3,$A338:$B338,P$3:P$5,"#"),0))</f>
        <v>#REF!</v>
      </c>
      <c r="Q338" s="61" t="e">
        <f>ABS(IF(Q$1&lt;=#REF!,_xll.GetCtData("PKAMOUNT","AMOUNT",$A$1:$A$3,$A338:$B338,Q$3:Q$5,"#"),0))</f>
        <v>#REF!</v>
      </c>
      <c r="R338" s="61" t="e">
        <f>ABS(IF(R$1&lt;=#REF!,_xll.GetCtData("PKAMOUNT","AMOUNT",$A$1:$A$3,$A338:$B338,R$3:R$5,"#"),0))</f>
        <v>#REF!</v>
      </c>
      <c r="S338" s="61" t="e">
        <f>ABS(IF(S$1&lt;=#REF!,_xll.GetCtData("PKAMOUNT","AMOUNT",$A$1:$A$3,$A338:$B338,S$3:S$5,"#"),0))</f>
        <v>#REF!</v>
      </c>
      <c r="T338" s="61" t="e">
        <f>ABS(IF(T$1&lt;=#REF!,_xll.GetCtData("PKAMOUNT","AMOUNT",$A$1:$A$3,$A338:$B338,T$3:T$5,"#"),0))</f>
        <v>#REF!</v>
      </c>
      <c r="U338" s="61" t="e">
        <f>ABS(IF(U$1&lt;=#REF!,_xll.GetCtData("PKAMOUNT","AMOUNT",$A$1:$A$3,$A338:$B338,U$3:U$5,"#"),0))</f>
        <v>#REF!</v>
      </c>
      <c r="V338" s="61" t="e">
        <f>ABS(IF(V$1&lt;=#REF!,_xll.GetCtData("PKAMOUNT","AMOUNT",$A$1:$A$3,$A338:$B338,V$3:V$5,"#"),0))</f>
        <v>#REF!</v>
      </c>
      <c r="W338" s="61" t="e">
        <f>ABS(IF(W$1&lt;=#REF!,_xll.GetCtData("PKAMOUNT","AMOUNT",$A$1:$A$3,$A338:$B338,W$3:W$5,"#"),0))</f>
        <v>#REF!</v>
      </c>
      <c r="X338" s="61" t="e">
        <f>ABS(IF(X$1&lt;=#REF!,_xll.GetCtData("PKAMOUNT","AMOUNT",$A$1:$A$3,$A338:$B338,X$3:X$5,"#"),0))</f>
        <v>#REF!</v>
      </c>
      <c r="Y338" s="61" t="e">
        <f>ABS(IF(Y$1&lt;=#REF!,_xll.GetCtData("PKAMOUNT","AMOUNT",$A$1:$A$3,$A338:$B338,Y$3:Y$5,"#"),0))</f>
        <v>#REF!</v>
      </c>
      <c r="AA338" s="61" t="e">
        <f>$K338*#REF!/12</f>
        <v>#REF!</v>
      </c>
      <c r="AB338" s="20"/>
      <c r="AD338" s="61" t="e">
        <f>$L338*#REF!/12</f>
        <v>#REF!</v>
      </c>
      <c r="AE338" s="20"/>
    </row>
    <row r="339" spans="1:31" ht="18" customHeight="1" collapsed="1" x14ac:dyDescent="0.2">
      <c r="A339" s="30" t="s">
        <v>287</v>
      </c>
      <c r="B339" s="30" t="s">
        <v>17</v>
      </c>
      <c r="C339" s="4" t="e">
        <f>IF(AND($Y339=0,AA339=0),0,IF(AA339=0,IF($Y339&gt;=0,AB339/$Y339,-AB339/$Y339),IF(AA339&gt;=0,AB339/AA339,-AB339/AA339)))</f>
        <v>#REF!</v>
      </c>
      <c r="D339" s="4" t="e">
        <f>IF(AND($Y339=0,AD339=0),0,IF(AD339=0,IF($Y339&gt;=0,AE339/$Y339,-AE339/$Y339),IF(AD339&gt;=0,AE339/AD339,-AE339/AD339)))</f>
        <v>#REF!</v>
      </c>
      <c r="F339" s="107" t="s">
        <v>289</v>
      </c>
      <c r="H339" s="78">
        <f t="shared" ref="H339:Y339" si="187">IF(H338=0,0,(H337/(H338*12/IF(H1="",12,H1)))*12)</f>
        <v>0</v>
      </c>
      <c r="I339" s="78">
        <f t="shared" si="187"/>
        <v>0</v>
      </c>
      <c r="J339" s="78">
        <f t="shared" si="187"/>
        <v>0</v>
      </c>
      <c r="K339" s="87">
        <f t="shared" si="187"/>
        <v>0</v>
      </c>
      <c r="L339" s="87">
        <f t="shared" si="187"/>
        <v>0</v>
      </c>
      <c r="M339" s="78">
        <f t="shared" si="187"/>
        <v>0</v>
      </c>
      <c r="N339" s="78" t="e">
        <f t="shared" si="187"/>
        <v>#REF!</v>
      </c>
      <c r="O339" s="78" t="e">
        <f t="shared" si="187"/>
        <v>#REF!</v>
      </c>
      <c r="P339" s="78" t="e">
        <f t="shared" si="187"/>
        <v>#REF!</v>
      </c>
      <c r="Q339" s="78" t="e">
        <f t="shared" si="187"/>
        <v>#REF!</v>
      </c>
      <c r="R339" s="78" t="e">
        <f t="shared" si="187"/>
        <v>#REF!</v>
      </c>
      <c r="S339" s="78" t="e">
        <f t="shared" ref="S339:T339" si="188">IF(S338=0,0,(S337/(S338*12/IF(S1="",12,S1)))*12)</f>
        <v>#REF!</v>
      </c>
      <c r="T339" s="78" t="e">
        <f t="shared" si="188"/>
        <v>#REF!</v>
      </c>
      <c r="U339" s="78" t="e">
        <f t="shared" si="187"/>
        <v>#REF!</v>
      </c>
      <c r="V339" s="78" t="e">
        <f t="shared" si="187"/>
        <v>#REF!</v>
      </c>
      <c r="W339" s="78" t="e">
        <f t="shared" si="187"/>
        <v>#REF!</v>
      </c>
      <c r="X339" s="78" t="e">
        <f t="shared" si="187"/>
        <v>#REF!</v>
      </c>
      <c r="Y339" s="78" t="e">
        <f t="shared" si="187"/>
        <v>#REF!</v>
      </c>
      <c r="AA339" s="78">
        <f>$K339</f>
        <v>0</v>
      </c>
      <c r="AB339" s="20"/>
      <c r="AD339" s="78">
        <f>$L339</f>
        <v>0</v>
      </c>
      <c r="AE339" s="20"/>
    </row>
    <row r="340" spans="1:31" ht="15" x14ac:dyDescent="0.2">
      <c r="A340" s="4"/>
      <c r="B340" s="4"/>
      <c r="C340" s="4"/>
      <c r="D340" s="4"/>
      <c r="F340" s="96"/>
      <c r="H340" s="16"/>
      <c r="I340" s="16"/>
      <c r="J340" s="16"/>
      <c r="K340" s="85"/>
      <c r="L340" s="85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AA340" s="16"/>
      <c r="AB340" s="20"/>
      <c r="AD340" s="16"/>
      <c r="AE340" s="20"/>
    </row>
    <row r="341" spans="1:31" ht="18" customHeight="1" x14ac:dyDescent="0.2">
      <c r="A341" s="30" t="s">
        <v>293</v>
      </c>
      <c r="B341" s="30" t="s">
        <v>17</v>
      </c>
      <c r="C341" s="4">
        <f t="shared" ref="C341:C346" si="189">IF(AND($Y341=0,AA341=0),0,IF(AA341=0,IF($Y341&gt;=0,AB341/$Y341,-AB341/$Y341),IF(AA341&gt;=0,AB341/AA341,-AB341/AA341)))</f>
        <v>0</v>
      </c>
      <c r="D341" s="4">
        <f t="shared" ref="D341:D346" si="190">IF(AND($Y341=0,AD341=0),0,IF(AD341=0,IF($Y341&gt;=0,AE341/$Y341,-AE341/$Y341),IF(AD341&gt;=0,AE341/AD341,-AE341/AD341)))</f>
        <v>0</v>
      </c>
      <c r="F341" s="106" t="s">
        <v>357</v>
      </c>
      <c r="H341" s="61">
        <f>_xll.GetCtData("PKAMOUNT","AMOUNT",$A$1:$A$3,$A341:$B341,H$3:H$5,"#")</f>
        <v>0</v>
      </c>
      <c r="I341" s="61">
        <f>_xll.GetCtData("PKAMOUNT","AMOUNT",$A$1:$A$3,$A341:$B341,I$3:I$5,"#")</f>
        <v>0</v>
      </c>
      <c r="J341" s="61">
        <f>_xll.GetCtData("PKAMOUNT","AMOUNT",$A$1:$A$3,$A341:$B341,J$3:J$5,"#")</f>
        <v>0</v>
      </c>
      <c r="K341" s="88"/>
      <c r="L341" s="88"/>
      <c r="M341" s="61">
        <f>_xll.GetCtData("PKAMOUNT","AMOUNT",$A$1:$A$3,$A341:$B341,M$3:M$5,"#")</f>
        <v>0</v>
      </c>
      <c r="N341" s="61" t="e">
        <f>IF(N$1&lt;=#REF!,_xll.GetCtData("PKAMOUNT","AMOUNT",$A$1:$A$3,$A341:$B341,N$3:N$5,"#")-SUM($M341:M341),0)</f>
        <v>#REF!</v>
      </c>
      <c r="O341" s="61" t="e">
        <f>IF(O$1&lt;=#REF!,_xll.GetCtData("PKAMOUNT","AMOUNT",$A$1:$A$3,$A341:$B341,O$3:O$5,"#")-SUM($M341:N341),0)</f>
        <v>#REF!</v>
      </c>
      <c r="P341" s="61" t="e">
        <f>IF(P$1&lt;=#REF!,_xll.GetCtData("PKAMOUNT","AMOUNT",$A$1:$A$3,$A341:$B341,P$3:P$5,"#")-SUM($M341:O341),0)</f>
        <v>#REF!</v>
      </c>
      <c r="Q341" s="61" t="e">
        <f>IF(Q$1&lt;=#REF!,_xll.GetCtData("PKAMOUNT","AMOUNT",$A$1:$A$3,$A341:$B341,Q$3:Q$5,"#")-SUM($M341:P341),0)</f>
        <v>#REF!</v>
      </c>
      <c r="R341" s="61" t="e">
        <f>IF(R$1&lt;=#REF!,_xll.GetCtData("PKAMOUNT","AMOUNT",$A$1:$A$3,$A341:$B341,R$3:R$5,"#")-SUM($M341:Q341),0)</f>
        <v>#REF!</v>
      </c>
      <c r="S341" s="61" t="e">
        <f>IF(S$1&lt;=#REF!,_xll.GetCtData("PKAMOUNT","AMOUNT",$A$1:$A$3,$A341:$B341,S$3:S$5,"#")-SUM($M341:R341),0)</f>
        <v>#REF!</v>
      </c>
      <c r="T341" s="61" t="e">
        <f>IF(T$1&lt;=#REF!,_xll.GetCtData("PKAMOUNT","AMOUNT",$A$1:$A$3,$A341:$B341,T$3:T$5,"#")-SUM($M341:S341),0)</f>
        <v>#REF!</v>
      </c>
      <c r="U341" s="61" t="e">
        <f>IF(U$1&lt;=#REF!,_xll.GetCtData("PKAMOUNT","AMOUNT",$A$1:$A$3,$A341:$B341,U$3:U$5,"#")-SUM($M341:T341),0)</f>
        <v>#REF!</v>
      </c>
      <c r="V341" s="61" t="e">
        <f>IF(V$1&lt;=#REF!,_xll.GetCtData("PKAMOUNT","AMOUNT",$A$1:$A$3,$A341:$B341,V$3:V$5,"#")-SUM($M341:U341),0)</f>
        <v>#REF!</v>
      </c>
      <c r="W341" s="61" t="e">
        <f>IF(W$1&lt;=#REF!,_xll.GetCtData("PKAMOUNT","AMOUNT",$A$1:$A$3,$A341:$B341,W$3:W$5,"#")-SUM($M341:V341),0)</f>
        <v>#REF!</v>
      </c>
      <c r="X341" s="61" t="e">
        <f>IF(X$1&lt;=#REF!,_xll.GetCtData("PKAMOUNT","AMOUNT",$A$1:$A$3,$A341:$B341,X$3:X$5,"#")-SUM($M341:W341),0)</f>
        <v>#REF!</v>
      </c>
      <c r="Y341" s="61">
        <f>_xll.GetCtData("PKAMOUNT","AMOUNT",$A$1:$A$3,$A341:$B341,Y$3:Y$5,"#")</f>
        <v>0</v>
      </c>
      <c r="AA341" s="16"/>
      <c r="AB341" s="20"/>
      <c r="AD341" s="16"/>
      <c r="AE341" s="20"/>
    </row>
    <row r="342" spans="1:31" ht="18" customHeight="1" x14ac:dyDescent="0.2">
      <c r="A342" s="30" t="s">
        <v>294</v>
      </c>
      <c r="B342" s="30" t="s">
        <v>17</v>
      </c>
      <c r="C342" s="4">
        <f t="shared" si="189"/>
        <v>0</v>
      </c>
      <c r="D342" s="4">
        <f t="shared" si="190"/>
        <v>0</v>
      </c>
      <c r="F342" s="106" t="s">
        <v>358</v>
      </c>
      <c r="H342" s="61">
        <f>_xll.GetCtData("PKAMOUNT","AMOUNT",$A$1:$A$3,$A342:$B342,H$3:H$5,"#")</f>
        <v>0</v>
      </c>
      <c r="I342" s="61">
        <f>_xll.GetCtData("PKAMOUNT","AMOUNT",$A$1:$A$3,$A342:$B342,I$3:I$5,"#")</f>
        <v>0</v>
      </c>
      <c r="J342" s="61">
        <f>_xll.GetCtData("PKAMOUNT","AMOUNT",$A$1:$A$3,$A342:$B342,J$3:J$5,"#")</f>
        <v>0</v>
      </c>
      <c r="K342" s="88"/>
      <c r="L342" s="88"/>
      <c r="M342" s="61">
        <f>_xll.GetCtData("PKAMOUNT","AMOUNT",$A$1:$A$3,$A342:$B342,M$3:M$5,"#")</f>
        <v>0</v>
      </c>
      <c r="N342" s="61" t="e">
        <f>IF(N$1&lt;=#REF!,_xll.GetCtData("PKAMOUNT","AMOUNT",$A$1:$A$3,$A342:$B342,N$3:N$5,"#")-SUM($M342:M342),0)</f>
        <v>#REF!</v>
      </c>
      <c r="O342" s="61" t="e">
        <f>IF(O$1&lt;=#REF!,_xll.GetCtData("PKAMOUNT","AMOUNT",$A$1:$A$3,$A342:$B342,O$3:O$5,"#")-SUM($M342:N342),0)</f>
        <v>#REF!</v>
      </c>
      <c r="P342" s="61" t="e">
        <f>IF(P$1&lt;=#REF!,_xll.GetCtData("PKAMOUNT","AMOUNT",$A$1:$A$3,$A342:$B342,P$3:P$5,"#")-SUM($M342:O342),0)</f>
        <v>#REF!</v>
      </c>
      <c r="Q342" s="61" t="e">
        <f>IF(Q$1&lt;=#REF!,_xll.GetCtData("PKAMOUNT","AMOUNT",$A$1:$A$3,$A342:$B342,Q$3:Q$5,"#")-SUM($M342:P342),0)</f>
        <v>#REF!</v>
      </c>
      <c r="R342" s="61" t="e">
        <f>IF(R$1&lt;=#REF!,_xll.GetCtData("PKAMOUNT","AMOUNT",$A$1:$A$3,$A342:$B342,R$3:R$5,"#")-SUM($M342:Q342),0)</f>
        <v>#REF!</v>
      </c>
      <c r="S342" s="61" t="e">
        <f>IF(S$1&lt;=#REF!,_xll.GetCtData("PKAMOUNT","AMOUNT",$A$1:$A$3,$A342:$B342,S$3:S$5,"#")-SUM($M342:R342),0)</f>
        <v>#REF!</v>
      </c>
      <c r="T342" s="61" t="e">
        <f>IF(T$1&lt;=#REF!,_xll.GetCtData("PKAMOUNT","AMOUNT",$A$1:$A$3,$A342:$B342,T$3:T$5,"#")-SUM($M342:S342),0)</f>
        <v>#REF!</v>
      </c>
      <c r="U342" s="61" t="e">
        <f>IF(U$1&lt;=#REF!,_xll.GetCtData("PKAMOUNT","AMOUNT",$A$1:$A$3,$A342:$B342,U$3:U$5,"#")-SUM($M342:T342),0)</f>
        <v>#REF!</v>
      </c>
      <c r="V342" s="61" t="e">
        <f>IF(V$1&lt;=#REF!,_xll.GetCtData("PKAMOUNT","AMOUNT",$A$1:$A$3,$A342:$B342,V$3:V$5,"#")-SUM($M342:U342),0)</f>
        <v>#REF!</v>
      </c>
      <c r="W342" s="61" t="e">
        <f>IF(W$1&lt;=#REF!,_xll.GetCtData("PKAMOUNT","AMOUNT",$A$1:$A$3,$A342:$B342,W$3:W$5,"#")-SUM($M342:V342),0)</f>
        <v>#REF!</v>
      </c>
      <c r="X342" s="61" t="e">
        <f>IF(X$1&lt;=#REF!,_xll.GetCtData("PKAMOUNT","AMOUNT",$A$1:$A$3,$A342:$B342,X$3:X$5,"#")-SUM($M342:W342),0)</f>
        <v>#REF!</v>
      </c>
      <c r="Y342" s="61">
        <f>_xll.GetCtData("PKAMOUNT","AMOUNT",$A$1:$A$3,$A342:$B342,Y$3:Y$5,"#")</f>
        <v>0</v>
      </c>
      <c r="AA342" s="16"/>
      <c r="AB342" s="20"/>
      <c r="AD342" s="16"/>
      <c r="AE342" s="20"/>
    </row>
    <row r="343" spans="1:31" ht="18" customHeight="1" x14ac:dyDescent="0.2">
      <c r="A343" s="30" t="s">
        <v>295</v>
      </c>
      <c r="B343" s="30" t="s">
        <v>17</v>
      </c>
      <c r="C343" s="4">
        <f t="shared" si="189"/>
        <v>0</v>
      </c>
      <c r="D343" s="4">
        <f t="shared" si="190"/>
        <v>0</v>
      </c>
      <c r="F343" s="106" t="s">
        <v>359</v>
      </c>
      <c r="H343" s="61">
        <f>_xll.GetCtData("PKAMOUNT","AMOUNT",$A$1:$A$3,$A343:$B343,H$3:H$5,"#")</f>
        <v>0</v>
      </c>
      <c r="I343" s="61">
        <f>_xll.GetCtData("PKAMOUNT","AMOUNT",$A$1:$A$3,$A343:$B343,I$3:I$5,"#")</f>
        <v>0</v>
      </c>
      <c r="J343" s="61">
        <f>_xll.GetCtData("PKAMOUNT","AMOUNT",$A$1:$A$3,$A343:$B343,J$3:J$5,"#")</f>
        <v>0</v>
      </c>
      <c r="K343" s="88"/>
      <c r="L343" s="88"/>
      <c r="M343" s="61">
        <f>_xll.GetCtData("PKAMOUNT","AMOUNT",$A$1:$A$3,$A343:$B343,M$3:M$5,"#")</f>
        <v>0</v>
      </c>
      <c r="N343" s="61" t="e">
        <f>IF(N$1&lt;=#REF!,_xll.GetCtData("PKAMOUNT","AMOUNT",$A$1:$A$3,$A343:$B343,N$3:N$5,"#")-SUM($M343:M343),0)</f>
        <v>#REF!</v>
      </c>
      <c r="O343" s="61" t="e">
        <f>IF(O$1&lt;=#REF!,_xll.GetCtData("PKAMOUNT","AMOUNT",$A$1:$A$3,$A343:$B343,O$3:O$5,"#")-SUM($M343:N343),0)</f>
        <v>#REF!</v>
      </c>
      <c r="P343" s="61" t="e">
        <f>IF(P$1&lt;=#REF!,_xll.GetCtData("PKAMOUNT","AMOUNT",$A$1:$A$3,$A343:$B343,P$3:P$5,"#")-SUM($M343:O343),0)</f>
        <v>#REF!</v>
      </c>
      <c r="Q343" s="61" t="e">
        <f>IF(Q$1&lt;=#REF!,_xll.GetCtData("PKAMOUNT","AMOUNT",$A$1:$A$3,$A343:$B343,Q$3:Q$5,"#")-SUM($M343:P343),0)</f>
        <v>#REF!</v>
      </c>
      <c r="R343" s="61" t="e">
        <f>IF(R$1&lt;=#REF!,_xll.GetCtData("PKAMOUNT","AMOUNT",$A$1:$A$3,$A343:$B343,R$3:R$5,"#")-SUM($M343:Q343),0)</f>
        <v>#REF!</v>
      </c>
      <c r="S343" s="61" t="e">
        <f>IF(S$1&lt;=#REF!,_xll.GetCtData("PKAMOUNT","AMOUNT",$A$1:$A$3,$A343:$B343,S$3:S$5,"#")-SUM($M343:R343),0)</f>
        <v>#REF!</v>
      </c>
      <c r="T343" s="61" t="e">
        <f>IF(T$1&lt;=#REF!,_xll.GetCtData("PKAMOUNT","AMOUNT",$A$1:$A$3,$A343:$B343,T$3:T$5,"#")-SUM($M343:S343),0)</f>
        <v>#REF!</v>
      </c>
      <c r="U343" s="61" t="e">
        <f>IF(U$1&lt;=#REF!,_xll.GetCtData("PKAMOUNT","AMOUNT",$A$1:$A$3,$A343:$B343,U$3:U$5,"#")-SUM($M343:T343),0)</f>
        <v>#REF!</v>
      </c>
      <c r="V343" s="61" t="e">
        <f>IF(V$1&lt;=#REF!,_xll.GetCtData("PKAMOUNT","AMOUNT",$A$1:$A$3,$A343:$B343,V$3:V$5,"#")-SUM($M343:U343),0)</f>
        <v>#REF!</v>
      </c>
      <c r="W343" s="61" t="e">
        <f>IF(W$1&lt;=#REF!,_xll.GetCtData("PKAMOUNT","AMOUNT",$A$1:$A$3,$A343:$B343,W$3:W$5,"#")-SUM($M343:V343),0)</f>
        <v>#REF!</v>
      </c>
      <c r="X343" s="61" t="e">
        <f>IF(X$1&lt;=#REF!,_xll.GetCtData("PKAMOUNT","AMOUNT",$A$1:$A$3,$A343:$B343,X$3:X$5,"#")-SUM($M343:W343),0)</f>
        <v>#REF!</v>
      </c>
      <c r="Y343" s="61">
        <f>_xll.GetCtData("PKAMOUNT","AMOUNT",$A$1:$A$3,$A343:$B343,Y$3:Y$5,"#")</f>
        <v>0</v>
      </c>
      <c r="AA343" s="16"/>
      <c r="AB343" s="20"/>
      <c r="AD343" s="16"/>
      <c r="AE343" s="20"/>
    </row>
    <row r="344" spans="1:31" ht="18" customHeight="1" x14ac:dyDescent="0.2">
      <c r="A344" s="30" t="s">
        <v>296</v>
      </c>
      <c r="B344" s="30" t="s">
        <v>17</v>
      </c>
      <c r="C344" s="4">
        <f t="shared" si="189"/>
        <v>0</v>
      </c>
      <c r="D344" s="4">
        <f t="shared" si="190"/>
        <v>0</v>
      </c>
      <c r="F344" s="106" t="s">
        <v>360</v>
      </c>
      <c r="H344" s="61">
        <f>_xll.GetCtData("PKAMOUNT","AMOUNT",$A$1:$A$3,$A344:$B344,H$3:H$5,"#")</f>
        <v>0</v>
      </c>
      <c r="I344" s="61">
        <f>_xll.GetCtData("PKAMOUNT","AMOUNT",$A$1:$A$3,$A344:$B344,I$3:I$5,"#")</f>
        <v>0</v>
      </c>
      <c r="J344" s="61">
        <f>_xll.GetCtData("PKAMOUNT","AMOUNT",$A$1:$A$3,$A344:$B344,J$3:J$5,"#")</f>
        <v>0</v>
      </c>
      <c r="K344" s="88"/>
      <c r="L344" s="88"/>
      <c r="M344" s="61">
        <f>_xll.GetCtData("PKAMOUNT","AMOUNT",$A$1:$A$3,$A344:$B344,M$3:M$5,"#")</f>
        <v>0</v>
      </c>
      <c r="N344" s="61" t="e">
        <f>IF(N$1&lt;=#REF!,_xll.GetCtData("PKAMOUNT","AMOUNT",$A$1:$A$3,$A344:$B344,N$3:N$5,"#")-SUM($M344:M344),0)</f>
        <v>#REF!</v>
      </c>
      <c r="O344" s="61" t="e">
        <f>IF(O$1&lt;=#REF!,_xll.GetCtData("PKAMOUNT","AMOUNT",$A$1:$A$3,$A344:$B344,O$3:O$5,"#")-SUM($M344:N344),0)</f>
        <v>#REF!</v>
      </c>
      <c r="P344" s="61" t="e">
        <f>IF(P$1&lt;=#REF!,_xll.GetCtData("PKAMOUNT","AMOUNT",$A$1:$A$3,$A344:$B344,P$3:P$5,"#")-SUM($M344:O344),0)</f>
        <v>#REF!</v>
      </c>
      <c r="Q344" s="61" t="e">
        <f>IF(Q$1&lt;=#REF!,_xll.GetCtData("PKAMOUNT","AMOUNT",$A$1:$A$3,$A344:$B344,Q$3:Q$5,"#")-SUM($M344:P344),0)</f>
        <v>#REF!</v>
      </c>
      <c r="R344" s="61" t="e">
        <f>IF(R$1&lt;=#REF!,_xll.GetCtData("PKAMOUNT","AMOUNT",$A$1:$A$3,$A344:$B344,R$3:R$5,"#")-SUM($M344:Q344),0)</f>
        <v>#REF!</v>
      </c>
      <c r="S344" s="61" t="e">
        <f>IF(S$1&lt;=#REF!,_xll.GetCtData("PKAMOUNT","AMOUNT",$A$1:$A$3,$A344:$B344,S$3:S$5,"#")-SUM($M344:R344),0)</f>
        <v>#REF!</v>
      </c>
      <c r="T344" s="61" t="e">
        <f>IF(T$1&lt;=#REF!,_xll.GetCtData("PKAMOUNT","AMOUNT",$A$1:$A$3,$A344:$B344,T$3:T$5,"#")-SUM($M344:S344),0)</f>
        <v>#REF!</v>
      </c>
      <c r="U344" s="61" t="e">
        <f>IF(U$1&lt;=#REF!,_xll.GetCtData("PKAMOUNT","AMOUNT",$A$1:$A$3,$A344:$B344,U$3:U$5,"#")-SUM($M344:T344),0)</f>
        <v>#REF!</v>
      </c>
      <c r="V344" s="61" t="e">
        <f>IF(V$1&lt;=#REF!,_xll.GetCtData("PKAMOUNT","AMOUNT",$A$1:$A$3,$A344:$B344,V$3:V$5,"#")-SUM($M344:U344),0)</f>
        <v>#REF!</v>
      </c>
      <c r="W344" s="61" t="e">
        <f>IF(W$1&lt;=#REF!,_xll.GetCtData("PKAMOUNT","AMOUNT",$A$1:$A$3,$A344:$B344,W$3:W$5,"#")-SUM($M344:V344),0)</f>
        <v>#REF!</v>
      </c>
      <c r="X344" s="61" t="e">
        <f>IF(X$1&lt;=#REF!,_xll.GetCtData("PKAMOUNT","AMOUNT",$A$1:$A$3,$A344:$B344,X$3:X$5,"#")-SUM($M344:W344),0)</f>
        <v>#REF!</v>
      </c>
      <c r="Y344" s="61">
        <f>_xll.GetCtData("PKAMOUNT","AMOUNT",$A$1:$A$3,$A344:$B344,Y$3:Y$5,"#")</f>
        <v>0</v>
      </c>
      <c r="AA344" s="16"/>
      <c r="AB344" s="20"/>
      <c r="AD344" s="16"/>
      <c r="AE344" s="20"/>
    </row>
    <row r="345" spans="1:31" ht="18" customHeight="1" x14ac:dyDescent="0.2">
      <c r="A345" s="30" t="s">
        <v>297</v>
      </c>
      <c r="B345" s="30" t="s">
        <v>17</v>
      </c>
      <c r="C345" s="4">
        <f t="shared" si="189"/>
        <v>0</v>
      </c>
      <c r="D345" s="4">
        <f t="shared" si="190"/>
        <v>0</v>
      </c>
      <c r="F345" s="106" t="s">
        <v>361</v>
      </c>
      <c r="H345" s="61">
        <f>_xll.GetCtData("PKAMOUNT","AMOUNT",$A$1:$A$3,$A345:$B345,H$3:H$5,"#")</f>
        <v>0</v>
      </c>
      <c r="I345" s="61">
        <f>_xll.GetCtData("PKAMOUNT","AMOUNT",$A$1:$A$3,$A345:$B345,I$3:I$5,"#")</f>
        <v>0</v>
      </c>
      <c r="J345" s="61">
        <f>_xll.GetCtData("PKAMOUNT","AMOUNT",$A$1:$A$3,$A345:$B345,J$3:J$5,"#")</f>
        <v>0</v>
      </c>
      <c r="K345" s="88"/>
      <c r="L345" s="88"/>
      <c r="M345" s="61">
        <f>_xll.GetCtData("PKAMOUNT","AMOUNT",$A$1:$A$3,$A345:$B345,M$3:M$5,"#")</f>
        <v>0</v>
      </c>
      <c r="N345" s="61" t="e">
        <f>IF(N$1&lt;=#REF!,_xll.GetCtData("PKAMOUNT","AMOUNT",$A$1:$A$3,$A345:$B345,N$3:N$5,"#")-SUM($M345:M345),0)</f>
        <v>#REF!</v>
      </c>
      <c r="O345" s="61" t="e">
        <f>IF(O$1&lt;=#REF!,_xll.GetCtData("PKAMOUNT","AMOUNT",$A$1:$A$3,$A345:$B345,O$3:O$5,"#")-SUM($M345:N345),0)</f>
        <v>#REF!</v>
      </c>
      <c r="P345" s="61" t="e">
        <f>IF(P$1&lt;=#REF!,_xll.GetCtData("PKAMOUNT","AMOUNT",$A$1:$A$3,$A345:$B345,P$3:P$5,"#")-SUM($M345:O345),0)</f>
        <v>#REF!</v>
      </c>
      <c r="Q345" s="61" t="e">
        <f>IF(Q$1&lt;=#REF!,_xll.GetCtData("PKAMOUNT","AMOUNT",$A$1:$A$3,$A345:$B345,Q$3:Q$5,"#")-SUM($M345:P345),0)</f>
        <v>#REF!</v>
      </c>
      <c r="R345" s="61" t="e">
        <f>IF(R$1&lt;=#REF!,_xll.GetCtData("PKAMOUNT","AMOUNT",$A$1:$A$3,$A345:$B345,R$3:R$5,"#")-SUM($M345:Q345),0)</f>
        <v>#REF!</v>
      </c>
      <c r="S345" s="61" t="e">
        <f>IF(S$1&lt;=#REF!,_xll.GetCtData("PKAMOUNT","AMOUNT",$A$1:$A$3,$A345:$B345,S$3:S$5,"#")-SUM($M345:R345),0)</f>
        <v>#REF!</v>
      </c>
      <c r="T345" s="61" t="e">
        <f>IF(T$1&lt;=#REF!,_xll.GetCtData("PKAMOUNT","AMOUNT",$A$1:$A$3,$A345:$B345,T$3:T$5,"#")-SUM($M345:S345),0)</f>
        <v>#REF!</v>
      </c>
      <c r="U345" s="61" t="e">
        <f>IF(U$1&lt;=#REF!,_xll.GetCtData("PKAMOUNT","AMOUNT",$A$1:$A$3,$A345:$B345,U$3:U$5,"#")-SUM($M345:T345),0)</f>
        <v>#REF!</v>
      </c>
      <c r="V345" s="61" t="e">
        <f>IF(V$1&lt;=#REF!,_xll.GetCtData("PKAMOUNT","AMOUNT",$A$1:$A$3,$A345:$B345,V$3:V$5,"#")-SUM($M345:U345),0)</f>
        <v>#REF!</v>
      </c>
      <c r="W345" s="61" t="e">
        <f>IF(W$1&lt;=#REF!,_xll.GetCtData("PKAMOUNT","AMOUNT",$A$1:$A$3,$A345:$B345,W$3:W$5,"#")-SUM($M345:V345),0)</f>
        <v>#REF!</v>
      </c>
      <c r="X345" s="61" t="e">
        <f>IF(X$1&lt;=#REF!,_xll.GetCtData("PKAMOUNT","AMOUNT",$A$1:$A$3,$A345:$B345,X$3:X$5,"#")-SUM($M345:W345),0)</f>
        <v>#REF!</v>
      </c>
      <c r="Y345" s="61">
        <f>_xll.GetCtData("PKAMOUNT","AMOUNT",$A$1:$A$3,$A345:$B345,Y$3:Y$5,"#")</f>
        <v>0</v>
      </c>
      <c r="AA345" s="16"/>
      <c r="AB345" s="20"/>
      <c r="AD345" s="16"/>
      <c r="AE345" s="20"/>
    </row>
    <row r="346" spans="1:31" ht="18" customHeight="1" collapsed="1" x14ac:dyDescent="0.2">
      <c r="A346" s="30" t="s">
        <v>292</v>
      </c>
      <c r="B346" s="30" t="s">
        <v>17</v>
      </c>
      <c r="C346" s="4">
        <f t="shared" si="189"/>
        <v>0</v>
      </c>
      <c r="D346" s="4">
        <f t="shared" si="190"/>
        <v>0</v>
      </c>
      <c r="F346" s="107" t="s">
        <v>362</v>
      </c>
      <c r="H346" s="79">
        <f>_xll.GetCtData("PKAMOUNT","AMOUNT",$A$1:$A$3,$A346:$B346,H$3:H$5,"#")</f>
        <v>0</v>
      </c>
      <c r="I346" s="79">
        <f>_xll.GetCtData("PKAMOUNT","AMOUNT",$A$1:$A$3,$A346:$B346,I$3:I$5,"#")</f>
        <v>0</v>
      </c>
      <c r="J346" s="79">
        <f>_xll.GetCtData("PKAMOUNT","AMOUNT",$A$1:$A$3,$A346:$B346,J$3:J$5,"#")</f>
        <v>0</v>
      </c>
      <c r="K346" s="89"/>
      <c r="L346" s="89"/>
      <c r="M346" s="79">
        <f>_xll.GetCtData("PKAMOUNT","AMOUNT",$A$1:$A$3,$A346:$B346,M$3:M$5,"#")</f>
        <v>0</v>
      </c>
      <c r="N346" s="79" t="e">
        <f>IF(N$1&lt;=#REF!,_xll.GetCtData("PKAMOUNT","AMOUNT",$A$1:$A$3,$A346:$B346,N$3:N$5,"#")-SUM($M346:M346),0)</f>
        <v>#REF!</v>
      </c>
      <c r="O346" s="79" t="e">
        <f>IF(O$1&lt;=#REF!,_xll.GetCtData("PKAMOUNT","AMOUNT",$A$1:$A$3,$A346:$B346,O$3:O$5,"#")-SUM($M346:N346),0)</f>
        <v>#REF!</v>
      </c>
      <c r="P346" s="79" t="e">
        <f>IF(P$1&lt;=#REF!,_xll.GetCtData("PKAMOUNT","AMOUNT",$A$1:$A$3,$A346:$B346,P$3:P$5,"#")-SUM($M346:O346),0)</f>
        <v>#REF!</v>
      </c>
      <c r="Q346" s="79" t="e">
        <f>IF(Q$1&lt;=#REF!,_xll.GetCtData("PKAMOUNT","AMOUNT",$A$1:$A$3,$A346:$B346,Q$3:Q$5,"#")-SUM($M346:P346),0)</f>
        <v>#REF!</v>
      </c>
      <c r="R346" s="79" t="e">
        <f>IF(R$1&lt;=#REF!,_xll.GetCtData("PKAMOUNT","AMOUNT",$A$1:$A$3,$A346:$B346,R$3:R$5,"#")-SUM($M346:Q346),0)</f>
        <v>#REF!</v>
      </c>
      <c r="S346" s="79" t="e">
        <f>IF(S$1&lt;=#REF!,_xll.GetCtData("PKAMOUNT","AMOUNT",$A$1:$A$3,$A346:$B346,S$3:S$5,"#")-SUM($M346:R346),0)</f>
        <v>#REF!</v>
      </c>
      <c r="T346" s="79" t="e">
        <f>IF(T$1&lt;=#REF!,_xll.GetCtData("PKAMOUNT","AMOUNT",$A$1:$A$3,$A346:$B346,T$3:T$5,"#")-SUM($M346:S346),0)</f>
        <v>#REF!</v>
      </c>
      <c r="U346" s="79" t="e">
        <f>IF(U$1&lt;=#REF!,_xll.GetCtData("PKAMOUNT","AMOUNT",$A$1:$A$3,$A346:$B346,U$3:U$5,"#")-SUM($M346:T346),0)</f>
        <v>#REF!</v>
      </c>
      <c r="V346" s="79" t="e">
        <f>IF(V$1&lt;=#REF!,_xll.GetCtData("PKAMOUNT","AMOUNT",$A$1:$A$3,$A346:$B346,V$3:V$5,"#")-SUM($M346:U346),0)</f>
        <v>#REF!</v>
      </c>
      <c r="W346" s="79" t="e">
        <f>IF(W$1&lt;=#REF!,_xll.GetCtData("PKAMOUNT","AMOUNT",$A$1:$A$3,$A346:$B346,W$3:W$5,"#")-SUM($M346:V346),0)</f>
        <v>#REF!</v>
      </c>
      <c r="X346" s="79" t="e">
        <f>IF(X$1&lt;=#REF!,_xll.GetCtData("PKAMOUNT","AMOUNT",$A$1:$A$3,$A346:$B346,X$3:X$5,"#")-SUM($M346:W346),0)</f>
        <v>#REF!</v>
      </c>
      <c r="Y346" s="79">
        <f>_xll.GetCtData("PKAMOUNT","AMOUNT",$A$1:$A$3,$A346:$B346,Y$3:Y$5,"#")</f>
        <v>0</v>
      </c>
      <c r="AA346" s="16"/>
      <c r="AB346" s="20"/>
      <c r="AD346" s="16"/>
      <c r="AE346" s="20"/>
    </row>
    <row r="347" spans="1:31" ht="15" x14ac:dyDescent="0.2">
      <c r="A347" s="4"/>
      <c r="B347" s="4"/>
      <c r="C347" s="4"/>
      <c r="D347" s="4"/>
      <c r="F347" s="96"/>
      <c r="H347" s="16"/>
      <c r="I347" s="16"/>
      <c r="J347" s="16"/>
      <c r="K347" s="85"/>
      <c r="L347" s="85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AA347" s="16"/>
      <c r="AB347" s="20"/>
      <c r="AD347" s="16"/>
      <c r="AE347" s="20"/>
    </row>
    <row r="348" spans="1:31" ht="18" hidden="1" customHeight="1" outlineLevel="1" x14ac:dyDescent="0.2">
      <c r="A348" s="30" t="s">
        <v>112</v>
      </c>
      <c r="B348" s="30" t="s">
        <v>17</v>
      </c>
      <c r="C348" s="4" t="e">
        <f>IF(AND($Y348=0,AA348=0),0,IF(AA348=0,IF($Y348&gt;=0,AB348/$Y348,-AB348/$Y348),IF(AA348&gt;=0,AB348/AA348,-AB348/AA348)))</f>
        <v>#REF!</v>
      </c>
      <c r="D348" s="4" t="e">
        <f>IF(AND($Y348=0,AD348=0),0,IF(AD348=0,IF($Y348&gt;=0,AE348/$Y348,-AE348/$Y348),IF(AD348&gt;=0,AE348/AD348,-AE348/AD348)))</f>
        <v>#REF!</v>
      </c>
      <c r="F348" s="50" t="s">
        <v>113</v>
      </c>
      <c r="H348" s="60">
        <f>_xll.GetCtData("PKAMOUNT","AMOUNT",$A$1:$A$3,$A348:$B348,H$3:H$5,"#")</f>
        <v>0</v>
      </c>
      <c r="I348" s="60">
        <f>_xll.GetCtData("PKAMOUNT","AMOUNT",$A$1:$A$3,$A348:$B348,I$3:I$5,"#")</f>
        <v>0</v>
      </c>
      <c r="J348" s="60">
        <f>_xll.GetCtData("PKAMOUNT","AMOUNT",$A$1:$A$3,$A348:$B348,J$3:J$5,"#")</f>
        <v>0</v>
      </c>
      <c r="K348" s="90">
        <f>K352</f>
        <v>0</v>
      </c>
      <c r="L348" s="90">
        <f>L352</f>
        <v>0</v>
      </c>
      <c r="M348" s="60">
        <f>_xll.GetCtData("PKAMOUNT","AMOUNT",$A$1:$A$3,$A348:$B348,M$3:M$5,"#")</f>
        <v>0</v>
      </c>
      <c r="N348" s="60" t="e">
        <f>IF(N$1&lt;=#REF!,_xll.GetCtData("PKAMOUNT","AMOUNT",$A$1:$A$3,$A348:$B348,N$3:N$5,"#")-SUM($M348:M348),0)</f>
        <v>#REF!</v>
      </c>
      <c r="O348" s="60" t="e">
        <f>IF(O$1&lt;=#REF!,_xll.GetCtData("PKAMOUNT","AMOUNT",$A$1:$A$3,$A348:$B348,O$3:O$5,"#")-SUM($M348:N348),0)</f>
        <v>#REF!</v>
      </c>
      <c r="P348" s="60" t="e">
        <f>IF(P$1&lt;=#REF!,_xll.GetCtData("PKAMOUNT","AMOUNT",$A$1:$A$3,$A348:$B348,P$3:P$5,"#")-SUM($M348:O348),0)</f>
        <v>#REF!</v>
      </c>
      <c r="Q348" s="60" t="e">
        <f>IF(Q$1&lt;=#REF!,_xll.GetCtData("PKAMOUNT","AMOUNT",$A$1:$A$3,$A348:$B348,Q$3:Q$5,"#")-SUM($M348:P348),0)</f>
        <v>#REF!</v>
      </c>
      <c r="R348" s="60" t="e">
        <f>IF(R$1&lt;=#REF!,_xll.GetCtData("PKAMOUNT","AMOUNT",$A$1:$A$3,$A348:$B348,R$3:R$5,"#")-SUM($M348:Q348),0)</f>
        <v>#REF!</v>
      </c>
      <c r="S348" s="60" t="e">
        <f>IF(S$1&lt;=#REF!,_xll.GetCtData("PKAMOUNT","AMOUNT",$A$1:$A$3,$A348:$B348,S$3:S$5,"#")-SUM($M348:R348),0)</f>
        <v>#REF!</v>
      </c>
      <c r="T348" s="60" t="e">
        <f>IF(T$1&lt;=#REF!,_xll.GetCtData("PKAMOUNT","AMOUNT",$A$1:$A$3,$A348:$B348,T$3:T$5,"#")-SUM($M348:S348),0)</f>
        <v>#REF!</v>
      </c>
      <c r="U348" s="60" t="e">
        <f>IF(U$1&lt;=#REF!,_xll.GetCtData("PKAMOUNT","AMOUNT",$A$1:$A$3,$A348:$B348,U$3:U$5,"#")-SUM($M348:T348),0)</f>
        <v>#REF!</v>
      </c>
      <c r="V348" s="60" t="e">
        <f>IF(V$1&lt;=#REF!,_xll.GetCtData("PKAMOUNT","AMOUNT",$A$1:$A$3,$A348:$B348,V$3:V$5,"#")-SUM($M348:U348),0)</f>
        <v>#REF!</v>
      </c>
      <c r="W348" s="60" t="e">
        <f>IF(W$1&lt;=#REF!,_xll.GetCtData("PKAMOUNT","AMOUNT",$A$1:$A$3,$A348:$B348,W$3:W$5,"#")-SUM($M348:V348),0)</f>
        <v>#REF!</v>
      </c>
      <c r="X348" s="60" t="e">
        <f>IF(X$1&lt;=#REF!,_xll.GetCtData("PKAMOUNT","AMOUNT",$A$1:$A$3,$A348:$B348,X$3:X$5,"#")-SUM($M348:W348),0)</f>
        <v>#REF!</v>
      </c>
      <c r="Y348" s="60">
        <f>_xll.GetCtData("PKAMOUNT","AMOUNT",$A$1:$A$3,$A348:$B348,Y$3:Y$5,"#")</f>
        <v>0</v>
      </c>
      <c r="AA348" s="60" t="e">
        <f>$K348*#REF!/12</f>
        <v>#REF!</v>
      </c>
      <c r="AB348" s="60" t="e">
        <f>ROUND($Y348-AA348,2)</f>
        <v>#REF!</v>
      </c>
      <c r="AD348" s="60" t="e">
        <f>$L348*#REF!/12</f>
        <v>#REF!</v>
      </c>
      <c r="AE348" s="60" t="e">
        <f>ROUND($Y348-AD348,2)</f>
        <v>#REF!</v>
      </c>
    </row>
    <row r="349" spans="1:31" ht="12.95" hidden="1" customHeight="1" outlineLevel="1" x14ac:dyDescent="0.2">
      <c r="A349" s="35"/>
      <c r="B349" s="35"/>
      <c r="C349" s="4"/>
      <c r="D349" s="4"/>
      <c r="F349" s="51" t="s">
        <v>114</v>
      </c>
      <c r="H349" s="80">
        <f t="shared" ref="H349:L349" si="191">IF(H352=0,0,H348/H352)</f>
        <v>0</v>
      </c>
      <c r="I349" s="80">
        <f t="shared" si="191"/>
        <v>0</v>
      </c>
      <c r="J349" s="80">
        <f t="shared" si="191"/>
        <v>0</v>
      </c>
      <c r="K349" s="91">
        <f t="shared" si="191"/>
        <v>0</v>
      </c>
      <c r="L349" s="91">
        <f t="shared" si="191"/>
        <v>0</v>
      </c>
      <c r="M349" s="80" t="e">
        <f>IF(M$1&lt;=#REF!,IF(M352=0,0,M348/M352),"")</f>
        <v>#REF!</v>
      </c>
      <c r="N349" s="80" t="e">
        <f>IF(N$1&lt;=#REF!,IF(N352=0,0,N348/N352),"")</f>
        <v>#REF!</v>
      </c>
      <c r="O349" s="80" t="e">
        <f>IF(O$1&lt;=#REF!,IF(O352=0,0,O348/O352),"")</f>
        <v>#REF!</v>
      </c>
      <c r="P349" s="80" t="e">
        <f>IF(P$1&lt;=#REF!,IF(P352=0,0,P348/P352),"")</f>
        <v>#REF!</v>
      </c>
      <c r="Q349" s="80" t="e">
        <f>IF(Q$1&lt;=#REF!,IF(Q352=0,0,Q348/Q352),"")</f>
        <v>#REF!</v>
      </c>
      <c r="R349" s="80" t="e">
        <f>IF(R$1&lt;=#REF!,IF(R352=0,0,R348/R352),"")</f>
        <v>#REF!</v>
      </c>
      <c r="S349" s="80" t="e">
        <f>IF(S$1&lt;=#REF!,IF(S352=0,0,S348/S352),"")</f>
        <v>#REF!</v>
      </c>
      <c r="T349" s="80" t="e">
        <f>IF(T$1&lt;=#REF!,IF(T352=0,0,T348/T352),"")</f>
        <v>#REF!</v>
      </c>
      <c r="U349" s="80" t="e">
        <f>IF(U$1&lt;=#REF!,IF(U352=0,0,U348/U352),"")</f>
        <v>#REF!</v>
      </c>
      <c r="V349" s="80" t="e">
        <f>IF(V$1&lt;=#REF!,IF(V352=0,0,V348/V352),"")</f>
        <v>#REF!</v>
      </c>
      <c r="W349" s="80" t="e">
        <f>IF(W$1&lt;=#REF!,IF(W352=0,0,W348/W352),"")</f>
        <v>#REF!</v>
      </c>
      <c r="X349" s="80" t="e">
        <f>IF(X$1&lt;=#REF!,IF(X352=0,0,X348/X352),"")</f>
        <v>#REF!</v>
      </c>
      <c r="Y349" s="80" t="e">
        <f>IF(Y352=0,0,Y348/Y352)</f>
        <v>#REF!</v>
      </c>
      <c r="AA349" s="80">
        <f>IF(AA352=0,0,AA348/AA352)</f>
        <v>0</v>
      </c>
      <c r="AB349" s="69"/>
      <c r="AD349" s="80">
        <f>IF(AD352=0,0,AD348/AD352)</f>
        <v>0</v>
      </c>
      <c r="AE349" s="69"/>
    </row>
    <row r="350" spans="1:31" ht="18" hidden="1" customHeight="1" outlineLevel="1" x14ac:dyDescent="0.2">
      <c r="A350" s="33" t="s">
        <v>100</v>
      </c>
      <c r="B350" s="33" t="s">
        <v>17</v>
      </c>
      <c r="C350" s="4"/>
      <c r="D350" s="4"/>
      <c r="F350" s="38" t="s">
        <v>103</v>
      </c>
      <c r="H350" s="66">
        <f>_xll.GetCtData("PKAMOUNT","AMOUNT",$A$1:$A$3,$A350:$B350,H$3:H$5,"#")</f>
        <v>0</v>
      </c>
      <c r="I350" s="66">
        <f>_xll.GetCtData("PKAMOUNT","AMOUNT",$A$1:$A$3,$A350:$B350,I$3:I$5,"#")</f>
        <v>0</v>
      </c>
      <c r="J350" s="66">
        <f>_xll.GetCtData("PKAMOUNT","AMOUNT",$A$1:$A$3,$A350:$B350,J$3:J$5,"#")</f>
        <v>0</v>
      </c>
      <c r="K350" s="86">
        <f>_xll.GetCtData("PKAMOUNT","AMOUNT",$A$1:$A$3,$A350:$B350,K$3:K$5,"#")</f>
        <v>0</v>
      </c>
      <c r="L350" s="86">
        <f>_xll.GetCtData("PKAMOUNT","AMOUNT",$A$1:$A$3,$A350:$B350,L$3:L$5,"#")</f>
        <v>0</v>
      </c>
      <c r="M350" s="66">
        <f>_xll.GetCtData("PKAMOUNT","AMOUNT",$A$1:$A$3,$A350:$B350,M$3:M$5,"#")</f>
        <v>0</v>
      </c>
      <c r="N350" s="66" t="e">
        <f>IF(N$1&lt;=#REF!,_xll.GetCtData("PKAMOUNT","AMOUNT",$A$1:$A$3,$A350:$B350,N$3:N$5,"#"),0)</f>
        <v>#REF!</v>
      </c>
      <c r="O350" s="66" t="e">
        <f>IF(O$1&lt;=#REF!,_xll.GetCtData("PKAMOUNT","AMOUNT",$A$1:$A$3,$A350:$B350,O$3:O$5,"#"),0)</f>
        <v>#REF!</v>
      </c>
      <c r="P350" s="66" t="e">
        <f>IF(P$1&lt;=#REF!,_xll.GetCtData("PKAMOUNT","AMOUNT",$A$1:$A$3,$A350:$B350,P$3:P$5,"#"),0)</f>
        <v>#REF!</v>
      </c>
      <c r="Q350" s="66" t="e">
        <f>IF(Q$1&lt;=#REF!,_xll.GetCtData("PKAMOUNT","AMOUNT",$A$1:$A$3,$A350:$B350,Q$3:Q$5,"#"),0)</f>
        <v>#REF!</v>
      </c>
      <c r="R350" s="66" t="e">
        <f>IF(R$1&lt;=#REF!,_xll.GetCtData("PKAMOUNT","AMOUNT",$A$1:$A$3,$A350:$B350,R$3:R$5,"#"),0)</f>
        <v>#REF!</v>
      </c>
      <c r="S350" s="66" t="e">
        <f>IF(S$1&lt;=#REF!,_xll.GetCtData("PKAMOUNT","AMOUNT",$A$1:$A$3,$A350:$B350,S$3:S$5,"#"),0)</f>
        <v>#REF!</v>
      </c>
      <c r="T350" s="66" t="e">
        <f>IF(T$1&lt;=#REF!,_xll.GetCtData("PKAMOUNT","AMOUNT",$A$1:$A$3,$A350:$B350,T$3:T$5,"#"),0)</f>
        <v>#REF!</v>
      </c>
      <c r="U350" s="66" t="e">
        <f>IF(U$1&lt;=#REF!,_xll.GetCtData("PKAMOUNT","AMOUNT",$A$1:$A$3,$A350:$B350,U$3:U$5,"#"),0)</f>
        <v>#REF!</v>
      </c>
      <c r="V350" s="66" t="e">
        <f>IF(V$1&lt;=#REF!,_xll.GetCtData("PKAMOUNT","AMOUNT",$A$1:$A$3,$A350:$B350,V$3:V$5,"#"),0)</f>
        <v>#REF!</v>
      </c>
      <c r="W350" s="66" t="e">
        <f>IF(W$1&lt;=#REF!,_xll.GetCtData("PKAMOUNT","AMOUNT",$A$1:$A$3,$A350:$B350,W$3:W$5,"#"),0)</f>
        <v>#REF!</v>
      </c>
      <c r="X350" s="66" t="e">
        <f>IF(X$1&lt;=#REF!,_xll.GetCtData("PKAMOUNT","AMOUNT",$A$1:$A$3,$A350:$B350,X$3:X$5,"#"),0)</f>
        <v>#REF!</v>
      </c>
      <c r="Y350" s="66" t="e">
        <f>IF(Y$1&lt;=#REF!,_xll.GetCtData("PKAMOUNT","AMOUNT",$A$1:$A$3,$A350:$B350,Y$3:Y$5,"#"),0)</f>
        <v>#REF!</v>
      </c>
      <c r="AA350" s="66" t="e">
        <f>$K350*#REF!/12</f>
        <v>#REF!</v>
      </c>
      <c r="AB350" s="60" t="e">
        <f>ROUND($Y350-AA350,2)</f>
        <v>#REF!</v>
      </c>
      <c r="AD350" s="66" t="e">
        <f>$L350*#REF!/12</f>
        <v>#REF!</v>
      </c>
      <c r="AE350" s="60" t="e">
        <f>ROUND($Y350-AD350,2)</f>
        <v>#REF!</v>
      </c>
    </row>
    <row r="351" spans="1:31" ht="18" hidden="1" customHeight="1" outlineLevel="1" x14ac:dyDescent="0.2">
      <c r="A351" s="33" t="s">
        <v>101</v>
      </c>
      <c r="B351" s="33" t="s">
        <v>102</v>
      </c>
      <c r="C351" s="4"/>
      <c r="D351" s="4"/>
      <c r="F351" s="38" t="s">
        <v>104</v>
      </c>
      <c r="H351" s="66">
        <f>_xll.GetCtData("PKAMOUNT","AMOUNT",$A$1:$A$3,$A351:$B351,H$3:H$5,"#")</f>
        <v>0</v>
      </c>
      <c r="I351" s="66">
        <f>_xll.GetCtData("PKAMOUNT","AMOUNT",$A$1:$A$3,$A351:$B351,I$3:I$5,"#")</f>
        <v>0</v>
      </c>
      <c r="J351" s="66">
        <f>_xll.GetCtData("PKAMOUNT","AMOUNT",$A$1:$A$3,$A351:$B351,J$3:J$5,"#")</f>
        <v>0</v>
      </c>
      <c r="K351" s="86">
        <f>_xll.GetCtData("PKAMOUNT","AMOUNT",$A$1:$A$3,$A351:$B351,K$3:K$5,"#")</f>
        <v>0</v>
      </c>
      <c r="L351" s="86">
        <f>_xll.GetCtData("PKAMOUNT","AMOUNT",$A$1:$A$3,$A351:$B351,L$3:L$5,"#")</f>
        <v>0</v>
      </c>
      <c r="M351" s="66">
        <f>_xll.GetCtData("PKAMOUNT","AMOUNT",$A$1:$A$3,$A351:$B351,M$3:M$5,"#")</f>
        <v>0</v>
      </c>
      <c r="N351" s="66" t="e">
        <f>IF(N$1&lt;=#REF!,_xll.GetCtData("PKAMOUNT","AMOUNT",$A$1:$A$3,$A351:$B351,N$3:N$5,"#"),0)</f>
        <v>#REF!</v>
      </c>
      <c r="O351" s="66" t="e">
        <f>IF(O$1&lt;=#REF!,_xll.GetCtData("PKAMOUNT","AMOUNT",$A$1:$A$3,$A351:$B351,O$3:O$5,"#"),0)</f>
        <v>#REF!</v>
      </c>
      <c r="P351" s="66" t="e">
        <f>IF(P$1&lt;=#REF!,_xll.GetCtData("PKAMOUNT","AMOUNT",$A$1:$A$3,$A351:$B351,P$3:P$5,"#"),0)</f>
        <v>#REF!</v>
      </c>
      <c r="Q351" s="66" t="e">
        <f>IF(Q$1&lt;=#REF!,_xll.GetCtData("PKAMOUNT","AMOUNT",$A$1:$A$3,$A351:$B351,Q$3:Q$5,"#"),0)</f>
        <v>#REF!</v>
      </c>
      <c r="R351" s="66" t="e">
        <f>IF(R$1&lt;=#REF!,_xll.GetCtData("PKAMOUNT","AMOUNT",$A$1:$A$3,$A351:$B351,R$3:R$5,"#"),0)</f>
        <v>#REF!</v>
      </c>
      <c r="S351" s="66" t="e">
        <f>IF(S$1&lt;=#REF!,_xll.GetCtData("PKAMOUNT","AMOUNT",$A$1:$A$3,$A351:$B351,S$3:S$5,"#"),0)</f>
        <v>#REF!</v>
      </c>
      <c r="T351" s="66" t="e">
        <f>IF(T$1&lt;=#REF!,_xll.GetCtData("PKAMOUNT","AMOUNT",$A$1:$A$3,$A351:$B351,T$3:T$5,"#"),0)</f>
        <v>#REF!</v>
      </c>
      <c r="U351" s="66" t="e">
        <f>IF(U$1&lt;=#REF!,_xll.GetCtData("PKAMOUNT","AMOUNT",$A$1:$A$3,$A351:$B351,U$3:U$5,"#"),0)</f>
        <v>#REF!</v>
      </c>
      <c r="V351" s="66" t="e">
        <f>IF(V$1&lt;=#REF!,_xll.GetCtData("PKAMOUNT","AMOUNT",$A$1:$A$3,$A351:$B351,V$3:V$5,"#"),0)</f>
        <v>#REF!</v>
      </c>
      <c r="W351" s="66" t="e">
        <f>IF(W$1&lt;=#REF!,_xll.GetCtData("PKAMOUNT","AMOUNT",$A$1:$A$3,$A351:$B351,W$3:W$5,"#"),0)</f>
        <v>#REF!</v>
      </c>
      <c r="X351" s="66" t="e">
        <f>IF(X$1&lt;=#REF!,_xll.GetCtData("PKAMOUNT","AMOUNT",$A$1:$A$3,$A351:$B351,X$3:X$5,"#"),0)</f>
        <v>#REF!</v>
      </c>
      <c r="Y351" s="66" t="e">
        <f>IF(Y$1&lt;=#REF!,_xll.GetCtData("PKAMOUNT","AMOUNT",$A$1:$A$3,$A351:$B351,Y$3:Y$5,"#"),0)</f>
        <v>#REF!</v>
      </c>
      <c r="AA351" s="66">
        <f>$K351</f>
        <v>0</v>
      </c>
      <c r="AB351" s="60" t="e">
        <f>ROUND($Y351-AA351,2)</f>
        <v>#REF!</v>
      </c>
      <c r="AD351" s="66">
        <f>$L351</f>
        <v>0</v>
      </c>
      <c r="AE351" s="60" t="e">
        <f>ROUND($Y351-AD351,2)</f>
        <v>#REF!</v>
      </c>
    </row>
    <row r="352" spans="1:31" ht="18" customHeight="1" collapsed="1" x14ac:dyDescent="0.2">
      <c r="A352" s="32"/>
      <c r="B352" s="32"/>
      <c r="C352" s="4" t="e">
        <f>IF(AND($Y352=0,AA352=0),0,IF(AA352=0,IF($Y352&gt;=0,AB352/$Y352,-AB352/$Y352),IF(AA352&gt;=0,AB352/AA352,-AB352/AA352)))</f>
        <v>#REF!</v>
      </c>
      <c r="D352" s="4" t="e">
        <f>IF(AND($Y352=0,AD352=0),0,IF(AD352=0,IF($Y352&gt;=0,AE352/$Y352,-AE352/$Y352),IF(AD352&gt;=0,AE352/AD352,-AE352/AD352)))</f>
        <v>#REF!</v>
      </c>
      <c r="F352" s="107" t="s">
        <v>105</v>
      </c>
      <c r="G352" s="7"/>
      <c r="H352" s="58">
        <f t="shared" ref="H352:Y352" si="192">H350+H351</f>
        <v>0</v>
      </c>
      <c r="I352" s="58">
        <f t="shared" si="192"/>
        <v>0</v>
      </c>
      <c r="J352" s="58">
        <f t="shared" si="192"/>
        <v>0</v>
      </c>
      <c r="K352" s="92">
        <f t="shared" si="192"/>
        <v>0</v>
      </c>
      <c r="L352" s="92">
        <f t="shared" si="192"/>
        <v>0</v>
      </c>
      <c r="M352" s="58">
        <f t="shared" si="192"/>
        <v>0</v>
      </c>
      <c r="N352" s="58" t="e">
        <f t="shared" si="192"/>
        <v>#REF!</v>
      </c>
      <c r="O352" s="58" t="e">
        <f t="shared" si="192"/>
        <v>#REF!</v>
      </c>
      <c r="P352" s="58" t="e">
        <f t="shared" si="192"/>
        <v>#REF!</v>
      </c>
      <c r="Q352" s="58" t="e">
        <f>Q350+Q351</f>
        <v>#REF!</v>
      </c>
      <c r="R352" s="58" t="e">
        <f t="shared" si="192"/>
        <v>#REF!</v>
      </c>
      <c r="S352" s="58" t="e">
        <f t="shared" ref="S352:T352" si="193">S350+S351</f>
        <v>#REF!</v>
      </c>
      <c r="T352" s="58" t="e">
        <f t="shared" si="193"/>
        <v>#REF!</v>
      </c>
      <c r="U352" s="58" t="e">
        <f t="shared" si="192"/>
        <v>#REF!</v>
      </c>
      <c r="V352" s="58" t="e">
        <f t="shared" si="192"/>
        <v>#REF!</v>
      </c>
      <c r="W352" s="58" t="e">
        <f t="shared" si="192"/>
        <v>#REF!</v>
      </c>
      <c r="X352" s="58" t="e">
        <f t="shared" si="192"/>
        <v>#REF!</v>
      </c>
      <c r="Y352" s="58" t="e">
        <f t="shared" si="192"/>
        <v>#REF!</v>
      </c>
      <c r="AA352" s="58">
        <f>$K352</f>
        <v>0</v>
      </c>
      <c r="AB352" s="60" t="e">
        <f>ROUND($Y352-AA352,2)</f>
        <v>#REF!</v>
      </c>
      <c r="AD352" s="58">
        <f>$L352</f>
        <v>0</v>
      </c>
      <c r="AE352" s="60" t="e">
        <f>ROUND($Y352-AD352,2)</f>
        <v>#REF!</v>
      </c>
    </row>
    <row r="353" spans="1:33" ht="18" customHeight="1" x14ac:dyDescent="0.2">
      <c r="A353" s="32"/>
      <c r="B353" s="32"/>
      <c r="C353" s="4"/>
      <c r="D353" s="4"/>
      <c r="F353" s="191" t="s">
        <v>402</v>
      </c>
      <c r="G353" s="7"/>
      <c r="H353" s="194">
        <f>H352-H356</f>
        <v>0</v>
      </c>
      <c r="I353" s="194">
        <f t="shared" ref="I353:Y353" si="194">I352-I356</f>
        <v>0</v>
      </c>
      <c r="J353" s="194">
        <f t="shared" si="194"/>
        <v>0</v>
      </c>
      <c r="K353" s="194">
        <f t="shared" si="194"/>
        <v>0</v>
      </c>
      <c r="L353" s="194">
        <f t="shared" si="194"/>
        <v>0</v>
      </c>
      <c r="M353" s="194">
        <f t="shared" si="194"/>
        <v>0</v>
      </c>
      <c r="N353" s="194" t="e">
        <f t="shared" si="194"/>
        <v>#REF!</v>
      </c>
      <c r="O353" s="194" t="e">
        <f t="shared" si="194"/>
        <v>#REF!</v>
      </c>
      <c r="P353" s="194" t="e">
        <f t="shared" si="194"/>
        <v>#REF!</v>
      </c>
      <c r="Q353" s="194" t="e">
        <f t="shared" si="194"/>
        <v>#REF!</v>
      </c>
      <c r="R353" s="194" t="e">
        <f t="shared" si="194"/>
        <v>#REF!</v>
      </c>
      <c r="S353" s="194" t="e">
        <f t="shared" ref="S353:T353" si="195">S352-S356</f>
        <v>#REF!</v>
      </c>
      <c r="T353" s="194" t="e">
        <f t="shared" si="195"/>
        <v>#REF!</v>
      </c>
      <c r="U353" s="194" t="e">
        <f t="shared" si="194"/>
        <v>#REF!</v>
      </c>
      <c r="V353" s="194" t="e">
        <f t="shared" si="194"/>
        <v>#REF!</v>
      </c>
      <c r="W353" s="194" t="e">
        <f t="shared" si="194"/>
        <v>#REF!</v>
      </c>
      <c r="X353" s="194" t="e">
        <f t="shared" si="194"/>
        <v>#REF!</v>
      </c>
      <c r="Y353" s="194" t="e">
        <f t="shared" si="194"/>
        <v>#REF!</v>
      </c>
      <c r="AA353" s="20"/>
      <c r="AB353" s="190"/>
      <c r="AD353" s="190"/>
      <c r="AE353" s="190"/>
    </row>
    <row r="354" spans="1:33" ht="18" hidden="1" customHeight="1" outlineLevel="1" x14ac:dyDescent="0.2">
      <c r="A354" s="192" t="s">
        <v>101</v>
      </c>
      <c r="B354" s="192" t="s">
        <v>403</v>
      </c>
      <c r="C354" s="4"/>
      <c r="D354" s="4"/>
      <c r="F354" s="193" t="s">
        <v>404</v>
      </c>
      <c r="G354" s="7"/>
      <c r="H354" s="66">
        <f>_xll.GetCtData("PKAMOUNT","AMOUNT",$A$1:$A$3,$A354:$B354,H$3:H$5,"#")</f>
        <v>0</v>
      </c>
      <c r="I354" s="66">
        <f>_xll.GetCtData("PKAMOUNT","AMOUNT",$A$1:$A$3,$A354:$B354,I$3:I$5,"#")</f>
        <v>0</v>
      </c>
      <c r="J354" s="66">
        <f>_xll.GetCtData("PKAMOUNT","AMOUNT",$A$1:$A$3,$A354:$B354,J$3:J$5,"#")</f>
        <v>0</v>
      </c>
      <c r="K354" s="86">
        <f>_xll.GetCtData("PKAMOUNT","AMOUNT",$A$1:$A$3,$A354:$B354,K$3:K$5,"#")</f>
        <v>0</v>
      </c>
      <c r="L354" s="86">
        <f>_xll.GetCtData("PKAMOUNT","AMOUNT",$A$1:$A$3,$A354:$B354,L$3:L$5,"#")</f>
        <v>0</v>
      </c>
      <c r="M354" s="66">
        <f>_xll.GetCtData("PKAMOUNT","AMOUNT",$A$1:$A$3,$A354:$B354,M$3:M$5,"#")</f>
        <v>0</v>
      </c>
      <c r="N354" s="66" t="e">
        <f>IF(N$1&lt;=#REF!,_xll.GetCtData("PKAMOUNT","AMOUNT",$A$1:$A$3,$A354:$B354,N$3:N$5,"#"),0)</f>
        <v>#REF!</v>
      </c>
      <c r="O354" s="66" t="e">
        <f>IF(O$1&lt;=#REF!,_xll.GetCtData("PKAMOUNT","AMOUNT",$A$1:$A$3,$A354:$B354,O$3:O$5,"#"),0)</f>
        <v>#REF!</v>
      </c>
      <c r="P354" s="66" t="e">
        <f>IF(P$1&lt;=#REF!,_xll.GetCtData("PKAMOUNT","AMOUNT",$A$1:$A$3,$A354:$B354,P$3:P$5,"#"),0)</f>
        <v>#REF!</v>
      </c>
      <c r="Q354" s="66" t="e">
        <f>IF(Q$1&lt;=#REF!,_xll.GetCtData("PKAMOUNT","AMOUNT",$A$1:$A$3,$A354:$B354,Q$3:Q$5,"#"),0)</f>
        <v>#REF!</v>
      </c>
      <c r="R354" s="66" t="e">
        <f>IF(R$1&lt;=#REF!,_xll.GetCtData("PKAMOUNT","AMOUNT",$A$1:$A$3,$A354:$B354,R$3:R$5,"#"),0)</f>
        <v>#REF!</v>
      </c>
      <c r="S354" s="66" t="e">
        <f>IF(S$1&lt;=#REF!,_xll.GetCtData("PKAMOUNT","AMOUNT",$A$1:$A$3,$A354:$B354,S$3:S$5,"#"),0)</f>
        <v>#REF!</v>
      </c>
      <c r="T354" s="66" t="e">
        <f>IF(T$1&lt;=#REF!,_xll.GetCtData("PKAMOUNT","AMOUNT",$A$1:$A$3,$A354:$B354,T$3:T$5,"#"),0)</f>
        <v>#REF!</v>
      </c>
      <c r="U354" s="66" t="e">
        <f>IF(U$1&lt;=#REF!,_xll.GetCtData("PKAMOUNT","AMOUNT",$A$1:$A$3,$A354:$B354,U$3:U$5,"#"),0)</f>
        <v>#REF!</v>
      </c>
      <c r="V354" s="66" t="e">
        <f>IF(V$1&lt;=#REF!,_xll.GetCtData("PKAMOUNT","AMOUNT",$A$1:$A$3,$A354:$B354,V$3:V$5,"#"),0)</f>
        <v>#REF!</v>
      </c>
      <c r="W354" s="66" t="e">
        <f>IF(W$1&lt;=#REF!,_xll.GetCtData("PKAMOUNT","AMOUNT",$A$1:$A$3,$A354:$B354,W$3:W$5,"#"),0)</f>
        <v>#REF!</v>
      </c>
      <c r="X354" s="66" t="e">
        <f>IF(X$1&lt;=#REF!,_xll.GetCtData("PKAMOUNT","AMOUNT",$A$1:$A$3,$A354:$B354,X$3:X$5,"#"),0)</f>
        <v>#REF!</v>
      </c>
      <c r="Y354" s="66" t="e">
        <f>IF(Y$1&lt;=#REF!,_xll.GetCtData("PKAMOUNT","AMOUNT",$A$1:$A$3,$A354:$B354,Y$3:Y$5,"#"),0)</f>
        <v>#REF!</v>
      </c>
      <c r="AA354" s="20"/>
      <c r="AB354" s="190"/>
      <c r="AD354" s="189"/>
      <c r="AE354" s="190"/>
    </row>
    <row r="355" spans="1:33" ht="18" hidden="1" customHeight="1" outlineLevel="1" x14ac:dyDescent="0.2">
      <c r="A355" s="192" t="s">
        <v>405</v>
      </c>
      <c r="B355" s="192" t="s">
        <v>17</v>
      </c>
      <c r="C355" s="4"/>
      <c r="D355" s="4"/>
      <c r="F355" s="193" t="s">
        <v>406</v>
      </c>
      <c r="G355" s="7"/>
      <c r="H355" s="66">
        <f>_xll.GetCtData("PKAMOUNT","AMOUNT",$A$1:$A$3,$A355:$B355,H$3:H$5,"#")</f>
        <v>0</v>
      </c>
      <c r="I355" s="66">
        <f>_xll.GetCtData("PKAMOUNT","AMOUNT",$A$1:$A$3,$A355:$B355,I$3:I$5,"#")</f>
        <v>0</v>
      </c>
      <c r="J355" s="66">
        <f>_xll.GetCtData("PKAMOUNT","AMOUNT",$A$1:$A$3,$A355:$B355,J$3:J$5,"#")</f>
        <v>0</v>
      </c>
      <c r="K355" s="86">
        <f>_xll.GetCtData("PKAMOUNT","AMOUNT",$A$1:$A$3,$A355:$B355,K$3:K$5,"#")</f>
        <v>0</v>
      </c>
      <c r="L355" s="86">
        <f>_xll.GetCtData("PKAMOUNT","AMOUNT",$A$1:$A$3,$A355:$B355,L$3:L$5,"#")</f>
        <v>0</v>
      </c>
      <c r="M355" s="66">
        <f>_xll.GetCtData("PKAMOUNT","AMOUNT",$A$1:$A$3,$A355:$B355,M$3:M$5,"#")</f>
        <v>0</v>
      </c>
      <c r="N355" s="66" t="e">
        <f>IF(N$1&lt;=#REF!,_xll.GetCtData("PKAMOUNT","AMOUNT",$A$1:$A$3,$A355:$B355,N$3:N$5,"#"),0)</f>
        <v>#REF!</v>
      </c>
      <c r="O355" s="66" t="e">
        <f>IF(O$1&lt;=#REF!,_xll.GetCtData("PKAMOUNT","AMOUNT",$A$1:$A$3,$A355:$B355,O$3:O$5,"#"),0)</f>
        <v>#REF!</v>
      </c>
      <c r="P355" s="66" t="e">
        <f>IF(P$1&lt;=#REF!,_xll.GetCtData("PKAMOUNT","AMOUNT",$A$1:$A$3,$A355:$B355,P$3:P$5,"#"),0)</f>
        <v>#REF!</v>
      </c>
      <c r="Q355" s="66" t="e">
        <f>IF(Q$1&lt;=#REF!,_xll.GetCtData("PKAMOUNT","AMOUNT",$A$1:$A$3,$A355:$B355,Q$3:Q$5,"#"),0)</f>
        <v>#REF!</v>
      </c>
      <c r="R355" s="66" t="e">
        <f>IF(R$1&lt;=#REF!,_xll.GetCtData("PKAMOUNT","AMOUNT",$A$1:$A$3,$A355:$B355,R$3:R$5,"#"),0)</f>
        <v>#REF!</v>
      </c>
      <c r="S355" s="66" t="e">
        <f>IF(S$1&lt;=#REF!,_xll.GetCtData("PKAMOUNT","AMOUNT",$A$1:$A$3,$A355:$B355,S$3:S$5,"#"),0)</f>
        <v>#REF!</v>
      </c>
      <c r="T355" s="66" t="e">
        <f>IF(T$1&lt;=#REF!,_xll.GetCtData("PKAMOUNT","AMOUNT",$A$1:$A$3,$A355:$B355,T$3:T$5,"#"),0)</f>
        <v>#REF!</v>
      </c>
      <c r="U355" s="66" t="e">
        <f>IF(U$1&lt;=#REF!,_xll.GetCtData("PKAMOUNT","AMOUNT",$A$1:$A$3,$A355:$B355,U$3:U$5,"#"),0)</f>
        <v>#REF!</v>
      </c>
      <c r="V355" s="66" t="e">
        <f>IF(V$1&lt;=#REF!,_xll.GetCtData("PKAMOUNT","AMOUNT",$A$1:$A$3,$A355:$B355,V$3:V$5,"#"),0)</f>
        <v>#REF!</v>
      </c>
      <c r="W355" s="66" t="e">
        <f>IF(W$1&lt;=#REF!,_xll.GetCtData("PKAMOUNT","AMOUNT",$A$1:$A$3,$A355:$B355,W$3:W$5,"#"),0)</f>
        <v>#REF!</v>
      </c>
      <c r="X355" s="66" t="e">
        <f>IF(X$1&lt;=#REF!,_xll.GetCtData("PKAMOUNT","AMOUNT",$A$1:$A$3,$A355:$B355,X$3:X$5,"#"),0)</f>
        <v>#REF!</v>
      </c>
      <c r="Y355" s="66" t="e">
        <f>IF(Y$1&lt;=#REF!,_xll.GetCtData("PKAMOUNT","AMOUNT",$A$1:$A$3,$A355:$B355,Y$3:Y$5,"#"),0)</f>
        <v>#REF!</v>
      </c>
      <c r="AA355" s="20"/>
      <c r="AB355" s="190"/>
      <c r="AD355" s="189"/>
      <c r="AE355" s="190"/>
    </row>
    <row r="356" spans="1:33" ht="18" customHeight="1" collapsed="1" x14ac:dyDescent="0.2">
      <c r="A356" s="32"/>
      <c r="B356" s="32"/>
      <c r="C356" s="4"/>
      <c r="D356" s="4"/>
      <c r="F356" s="191" t="s">
        <v>407</v>
      </c>
      <c r="G356" s="7"/>
      <c r="H356" s="194">
        <f>H354+H355</f>
        <v>0</v>
      </c>
      <c r="I356" s="194">
        <f t="shared" ref="I356:Y356" si="196">I354+I355</f>
        <v>0</v>
      </c>
      <c r="J356" s="194">
        <f t="shared" si="196"/>
        <v>0</v>
      </c>
      <c r="K356" s="194">
        <f t="shared" si="196"/>
        <v>0</v>
      </c>
      <c r="L356" s="194">
        <f t="shared" si="196"/>
        <v>0</v>
      </c>
      <c r="M356" s="194">
        <f t="shared" si="196"/>
        <v>0</v>
      </c>
      <c r="N356" s="194" t="e">
        <f t="shared" si="196"/>
        <v>#REF!</v>
      </c>
      <c r="O356" s="194" t="e">
        <f t="shared" si="196"/>
        <v>#REF!</v>
      </c>
      <c r="P356" s="194" t="e">
        <f t="shared" si="196"/>
        <v>#REF!</v>
      </c>
      <c r="Q356" s="194" t="e">
        <f t="shared" si="196"/>
        <v>#REF!</v>
      </c>
      <c r="R356" s="194" t="e">
        <f t="shared" si="196"/>
        <v>#REF!</v>
      </c>
      <c r="S356" s="194" t="e">
        <f t="shared" ref="S356:T356" si="197">S354+S355</f>
        <v>#REF!</v>
      </c>
      <c r="T356" s="194" t="e">
        <f t="shared" si="197"/>
        <v>#REF!</v>
      </c>
      <c r="U356" s="194" t="e">
        <f t="shared" si="196"/>
        <v>#REF!</v>
      </c>
      <c r="V356" s="194" t="e">
        <f t="shared" si="196"/>
        <v>#REF!</v>
      </c>
      <c r="W356" s="194" t="e">
        <f t="shared" si="196"/>
        <v>#REF!</v>
      </c>
      <c r="X356" s="194" t="e">
        <f t="shared" si="196"/>
        <v>#REF!</v>
      </c>
      <c r="Y356" s="194" t="e">
        <f t="shared" si="196"/>
        <v>#REF!</v>
      </c>
      <c r="AA356" s="20"/>
      <c r="AB356" s="190"/>
      <c r="AD356" s="190"/>
      <c r="AE356" s="190"/>
    </row>
    <row r="357" spans="1:33" ht="18" customHeight="1" x14ac:dyDescent="0.2">
      <c r="A357" s="30" t="s">
        <v>106</v>
      </c>
      <c r="B357" s="30" t="s">
        <v>17</v>
      </c>
      <c r="C357" s="4"/>
      <c r="D357" s="4"/>
      <c r="F357" s="106" t="s">
        <v>108</v>
      </c>
      <c r="H357" s="61">
        <f>_xll.GetCtData("PKAMOUNT","AMOUNT",$A$1:$A$3,$A357:$B357,H$3:H$5,"#")</f>
        <v>0</v>
      </c>
      <c r="I357" s="61">
        <f>_xll.GetCtData("PKAMOUNT","AMOUNT",$A$1:$A$3,$A357:$B357,I$3:I$5,"#")</f>
        <v>0</v>
      </c>
      <c r="J357" s="61">
        <f>_xll.GetCtData("PKAMOUNT","AMOUNT",$A$1:$A$3,$A357:$B357,J$3:J$5,"#")</f>
        <v>0</v>
      </c>
      <c r="K357" s="86"/>
      <c r="L357" s="86"/>
      <c r="M357" s="61">
        <f>_xll.GetCtData("PKAMOUNT","AMOUNT",$A$1:$A$3,$A357:$B357,M$3:M$5,"#")</f>
        <v>0</v>
      </c>
      <c r="N357" s="61" t="e">
        <f>IF(N$1&lt;=#REF!,_xll.GetCtData("PKAMOUNT","AMOUNT",$A$1:$A$3,$A357:$B357,N$3:N$5,"#")-SUM($M357:M357),0)</f>
        <v>#REF!</v>
      </c>
      <c r="O357" s="61" t="e">
        <f>IF(O$1&lt;=#REF!,_xll.GetCtData("PKAMOUNT","AMOUNT",$A$1:$A$3,$A357:$B357,O$3:O$5,"#")-SUM($M357:N357),0)</f>
        <v>#REF!</v>
      </c>
      <c r="P357" s="61" t="e">
        <f>IF(P$1&lt;=#REF!,_xll.GetCtData("PKAMOUNT","AMOUNT",$A$1:$A$3,$A357:$B357,P$3:P$5,"#")-SUM($M357:O357),0)</f>
        <v>#REF!</v>
      </c>
      <c r="Q357" s="61" t="e">
        <f>IF(Q$1&lt;=#REF!,_xll.GetCtData("PKAMOUNT","AMOUNT",$A$1:$A$3,$A357:$B357,Q$3:Q$5,"#")-SUM($M357:P357),0)</f>
        <v>#REF!</v>
      </c>
      <c r="R357" s="61" t="e">
        <f>IF(R$1&lt;=#REF!,_xll.GetCtData("PKAMOUNT","AMOUNT",$A$1:$A$3,$A357:$B357,R$3:R$5,"#")-SUM($M357:Q357),0)</f>
        <v>#REF!</v>
      </c>
      <c r="S357" s="61" t="e">
        <f>IF(S$1&lt;=#REF!,_xll.GetCtData("PKAMOUNT","AMOUNT",$A$1:$A$3,$A357:$B357,S$3:S$5,"#")-SUM($M357:R357),0)</f>
        <v>#REF!</v>
      </c>
      <c r="T357" s="61" t="e">
        <f>IF(T$1&lt;=#REF!,_xll.GetCtData("PKAMOUNT","AMOUNT",$A$1:$A$3,$A357:$B357,T$3:T$5,"#")-SUM($M357:S357),0)</f>
        <v>#REF!</v>
      </c>
      <c r="U357" s="61" t="e">
        <f>IF(U$1&lt;=#REF!,_xll.GetCtData("PKAMOUNT","AMOUNT",$A$1:$A$3,$A357:$B357,U$3:U$5,"#")-SUM($M357:T357),0)</f>
        <v>#REF!</v>
      </c>
      <c r="V357" s="61" t="e">
        <f>IF(V$1&lt;=#REF!,_xll.GetCtData("PKAMOUNT","AMOUNT",$A$1:$A$3,$A357:$B357,V$3:V$5,"#")-SUM($M357:U357),0)</f>
        <v>#REF!</v>
      </c>
      <c r="W357" s="61" t="e">
        <f>IF(W$1&lt;=#REF!,_xll.GetCtData("PKAMOUNT","AMOUNT",$A$1:$A$3,$A357:$B357,W$3:W$5,"#")-SUM($M357:V357),0)</f>
        <v>#REF!</v>
      </c>
      <c r="X357" s="61" t="e">
        <f>IF(X$1&lt;=#REF!,_xll.GetCtData("PKAMOUNT","AMOUNT",$A$1:$A$3,$A357:$B357,X$3:X$5,"#")-SUM($M357:W357),0)</f>
        <v>#REF!</v>
      </c>
      <c r="Y357" s="61">
        <f>_xll.GetCtData("PKAMOUNT","AMOUNT",$A$1:$A$3,$A357:$B357,Y$3:Y$5,"#")</f>
        <v>0</v>
      </c>
      <c r="AA357" s="20"/>
      <c r="AB357" s="16"/>
      <c r="AD357" s="20"/>
      <c r="AE357" s="16"/>
    </row>
    <row r="358" spans="1:33" ht="18" customHeight="1" x14ac:dyDescent="0.2">
      <c r="A358" s="30" t="s">
        <v>107</v>
      </c>
      <c r="B358" s="30" t="s">
        <v>17</v>
      </c>
      <c r="C358" s="4"/>
      <c r="D358" s="4"/>
      <c r="F358" s="106" t="s">
        <v>109</v>
      </c>
      <c r="H358" s="61">
        <f>_xll.GetCtData("PKAMOUNT","AMOUNT",$A$1:$A$3,$A358:$B358,H$3:H$5,"#")</f>
        <v>0</v>
      </c>
      <c r="I358" s="61">
        <f>_xll.GetCtData("PKAMOUNT","AMOUNT",$A$1:$A$3,$A358:$B358,I$3:I$5,"#")</f>
        <v>0</v>
      </c>
      <c r="J358" s="61">
        <f>_xll.GetCtData("PKAMOUNT","AMOUNT",$A$1:$A$3,$A358:$B358,J$3:J$5,"#")</f>
        <v>0</v>
      </c>
      <c r="K358" s="86"/>
      <c r="L358" s="86"/>
      <c r="M358" s="61">
        <f>_xll.GetCtData("PKAMOUNT","AMOUNT",$A$1:$A$3,$A358:$B358,M$3:M$5,"#")</f>
        <v>0</v>
      </c>
      <c r="N358" s="61" t="e">
        <f>IF(N$1&lt;=#REF!,_xll.GetCtData("PKAMOUNT","AMOUNT",$A$1:$A$3,$A358:$B358,N$3:N$5,"#")-SUM($M358:M358),0)</f>
        <v>#REF!</v>
      </c>
      <c r="O358" s="61" t="e">
        <f>IF(O$1&lt;=#REF!,_xll.GetCtData("PKAMOUNT","AMOUNT",$A$1:$A$3,$A358:$B358,O$3:O$5,"#")-SUM($M358:N358),0)</f>
        <v>#REF!</v>
      </c>
      <c r="P358" s="61" t="e">
        <f>IF(P$1&lt;=#REF!,_xll.GetCtData("PKAMOUNT","AMOUNT",$A$1:$A$3,$A358:$B358,P$3:P$5,"#")-SUM($M358:O358),0)</f>
        <v>#REF!</v>
      </c>
      <c r="Q358" s="61" t="e">
        <f>IF(Q$1&lt;=#REF!,_xll.GetCtData("PKAMOUNT","AMOUNT",$A$1:$A$3,$A358:$B358,Q$3:Q$5,"#")-SUM($M358:P358),0)</f>
        <v>#REF!</v>
      </c>
      <c r="R358" s="61" t="e">
        <f>IF(R$1&lt;=#REF!,_xll.GetCtData("PKAMOUNT","AMOUNT",$A$1:$A$3,$A358:$B358,R$3:R$5,"#")-SUM($M358:Q358),0)</f>
        <v>#REF!</v>
      </c>
      <c r="S358" s="61" t="e">
        <f>IF(S$1&lt;=#REF!,_xll.GetCtData("PKAMOUNT","AMOUNT",$A$1:$A$3,$A358:$B358,S$3:S$5,"#")-SUM($M358:R358),0)</f>
        <v>#REF!</v>
      </c>
      <c r="T358" s="61" t="e">
        <f>IF(T$1&lt;=#REF!,_xll.GetCtData("PKAMOUNT","AMOUNT",$A$1:$A$3,$A358:$B358,T$3:T$5,"#")-SUM($M358:S358),0)</f>
        <v>#REF!</v>
      </c>
      <c r="U358" s="61" t="e">
        <f>IF(U$1&lt;=#REF!,_xll.GetCtData("PKAMOUNT","AMOUNT",$A$1:$A$3,$A358:$B358,U$3:U$5,"#")-SUM($M358:T358),0)</f>
        <v>#REF!</v>
      </c>
      <c r="V358" s="61" t="e">
        <f>IF(V$1&lt;=#REF!,_xll.GetCtData("PKAMOUNT","AMOUNT",$A$1:$A$3,$A358:$B358,V$3:V$5,"#")-SUM($M358:U358),0)</f>
        <v>#REF!</v>
      </c>
      <c r="W358" s="61" t="e">
        <f>IF(W$1&lt;=#REF!,_xll.GetCtData("PKAMOUNT","AMOUNT",$A$1:$A$3,$A358:$B358,W$3:W$5,"#")-SUM($M358:V358),0)</f>
        <v>#REF!</v>
      </c>
      <c r="X358" s="61" t="e">
        <f>IF(X$1&lt;=#REF!,_xll.GetCtData("PKAMOUNT","AMOUNT",$A$1:$A$3,$A358:$B358,X$3:X$5,"#")-SUM($M358:W358),0)</f>
        <v>#REF!</v>
      </c>
      <c r="Y358" s="61">
        <f>_xll.GetCtData("PKAMOUNT","AMOUNT",$A$1:$A$3,$A358:$B358,Y$3:Y$5,"#")</f>
        <v>0</v>
      </c>
      <c r="AA358" s="20"/>
      <c r="AB358" s="16"/>
      <c r="AD358" s="20"/>
      <c r="AE358" s="16"/>
    </row>
    <row r="359" spans="1:33" ht="18" customHeight="1" x14ac:dyDescent="0.2">
      <c r="A359" s="30"/>
      <c r="B359" s="30"/>
      <c r="C359" s="4"/>
      <c r="D359" s="4"/>
      <c r="F359" s="106" t="s">
        <v>110</v>
      </c>
      <c r="H359" s="61">
        <f>H352-H357-H358-_xll.GetCtData("PKAMOUNT","AMOUNT",$A$1:$A$4,$A350:$B350,H$3:H$4,"#")</f>
        <v>0</v>
      </c>
      <c r="I359" s="61" t="e">
        <f>IF(I$1&lt;=#REF!,I352-I357-I358-$H352,0)</f>
        <v>#REF!</v>
      </c>
      <c r="J359" s="61" t="e">
        <f>IF(J$1&lt;=#REF!,J352-J357-J358-$H352,0)</f>
        <v>#REF!</v>
      </c>
      <c r="K359" s="86"/>
      <c r="L359" s="86"/>
      <c r="M359" s="61" t="e">
        <f>IF(M$1&lt;=#REF!,M352-M357-M358-$J352,0)</f>
        <v>#REF!</v>
      </c>
      <c r="N359" s="61" t="e">
        <f>IF(N$1&lt;=#REF!,N352-N357-N358-M352,0)</f>
        <v>#REF!</v>
      </c>
      <c r="O359" s="61" t="e">
        <f>IF(O$1&lt;=#REF!,O352-O357-O358-N352,0)</f>
        <v>#REF!</v>
      </c>
      <c r="P359" s="61" t="e">
        <f>IF(P$1&lt;=#REF!,P352-P357-P358-O352,0)</f>
        <v>#REF!</v>
      </c>
      <c r="Q359" s="61" t="e">
        <f>IF(Q$1&lt;=#REF!,Q352-Q357-Q358-P352,0)</f>
        <v>#REF!</v>
      </c>
      <c r="R359" s="61" t="e">
        <f>IF(R$1&lt;=#REF!,R352-R357-R358-Q352,0)</f>
        <v>#REF!</v>
      </c>
      <c r="S359" s="61" t="e">
        <f>IF(S$1&lt;=#REF!,S352-S357-S358-R352,0)</f>
        <v>#REF!</v>
      </c>
      <c r="T359" s="61" t="e">
        <f>IF(T$1&lt;=#REF!,T352-T357-T358-S352,0)</f>
        <v>#REF!</v>
      </c>
      <c r="U359" s="61" t="e">
        <f>IF(U$1&lt;=#REF!,U352-U357-U358-T352,0)</f>
        <v>#REF!</v>
      </c>
      <c r="V359" s="61" t="e">
        <f>IF(V$1&lt;=#REF!,V352-V357-V358-U352,0)</f>
        <v>#REF!</v>
      </c>
      <c r="W359" s="61" t="e">
        <f>IF(W$1&lt;=#REF!,W352-W357-W358-V352,0)</f>
        <v>#REF!</v>
      </c>
      <c r="X359" s="61" t="e">
        <f>IF(X$1&lt;=#REF!,X352-X357-X358-W352,0)</f>
        <v>#REF!</v>
      </c>
      <c r="Y359" s="61" t="e">
        <f>IF(Y$1&lt;=#REF!,Y352-Y357-Y358-$J352,0)</f>
        <v>#REF!</v>
      </c>
      <c r="AA359" s="20"/>
      <c r="AB359" s="16"/>
      <c r="AD359" s="20"/>
      <c r="AE359" s="16"/>
    </row>
    <row r="360" spans="1:33" ht="18" customHeight="1" collapsed="1" x14ac:dyDescent="0.2">
      <c r="A360" s="32"/>
      <c r="B360" s="32"/>
      <c r="C360" s="4" t="e">
        <f>IF(AND($Y360=0,AA360=0),0,IF(AA360=0,IF($Y360&gt;=0,AB360/$Y360,-AB360/$Y360),IF(AA360&gt;=0,AB360/AA360,-AB360/AA360)))</f>
        <v>#REF!</v>
      </c>
      <c r="D360" s="4" t="e">
        <f>IF(AND($Y360=0,AD360=0),0,IF(AD360=0,IF($Y360&gt;=0,AE360/$Y360,-AE360/$Y360),IF(AD360&gt;=0,AE360/AD360,-AE360/AD360)))</f>
        <v>#REF!</v>
      </c>
      <c r="F360" s="107" t="s">
        <v>111</v>
      </c>
      <c r="H360" s="58">
        <f>H357+H358+H359</f>
        <v>0</v>
      </c>
      <c r="I360" s="58" t="e">
        <f>I357+I358+I359</f>
        <v>#REF!</v>
      </c>
      <c r="J360" s="58" t="e">
        <f>J357+J358+J359</f>
        <v>#REF!</v>
      </c>
      <c r="K360" s="92" t="e">
        <f>IF(K$1&lt;=#REF!,K352-K357-K358-$J352,0)</f>
        <v>#REF!</v>
      </c>
      <c r="L360" s="92" t="e">
        <f>IF(L$1&lt;=#REF!,L352-L357-L358-$J352,0)</f>
        <v>#REF!</v>
      </c>
      <c r="M360" s="58" t="e">
        <f t="shared" ref="M360:Y360" si="198">M357+M358+M359</f>
        <v>#REF!</v>
      </c>
      <c r="N360" s="58" t="e">
        <f t="shared" si="198"/>
        <v>#REF!</v>
      </c>
      <c r="O360" s="58" t="e">
        <f t="shared" si="198"/>
        <v>#REF!</v>
      </c>
      <c r="P360" s="58" t="e">
        <f t="shared" si="198"/>
        <v>#REF!</v>
      </c>
      <c r="Q360" s="58" t="e">
        <f t="shared" si="198"/>
        <v>#REF!</v>
      </c>
      <c r="R360" s="58" t="e">
        <f t="shared" si="198"/>
        <v>#REF!</v>
      </c>
      <c r="S360" s="58" t="e">
        <f t="shared" ref="S360:T360" si="199">S357+S358+S359</f>
        <v>#REF!</v>
      </c>
      <c r="T360" s="58" t="e">
        <f t="shared" si="199"/>
        <v>#REF!</v>
      </c>
      <c r="U360" s="58" t="e">
        <f t="shared" si="198"/>
        <v>#REF!</v>
      </c>
      <c r="V360" s="58" t="e">
        <f t="shared" si="198"/>
        <v>#REF!</v>
      </c>
      <c r="W360" s="58" t="e">
        <f t="shared" si="198"/>
        <v>#REF!</v>
      </c>
      <c r="X360" s="58" t="e">
        <f t="shared" si="198"/>
        <v>#REF!</v>
      </c>
      <c r="Y360" s="58" t="e">
        <f t="shared" si="198"/>
        <v>#REF!</v>
      </c>
      <c r="AA360" s="58" t="e">
        <f>$K360</f>
        <v>#REF!</v>
      </c>
      <c r="AB360" s="60" t="e">
        <f>ROUND($Y360-AA360,2)</f>
        <v>#REF!</v>
      </c>
      <c r="AD360" s="58" t="e">
        <f>$L360</f>
        <v>#REF!</v>
      </c>
      <c r="AE360" s="60" t="e">
        <f>ROUND($Y360-AD360,2)</f>
        <v>#REF!</v>
      </c>
    </row>
    <row r="361" spans="1:33" ht="15" x14ac:dyDescent="0.2">
      <c r="A361" s="4"/>
      <c r="B361" s="4"/>
      <c r="C361" s="4"/>
      <c r="D361" s="4"/>
      <c r="F361" s="96"/>
      <c r="H361" s="16"/>
      <c r="I361" s="16"/>
      <c r="J361" s="16"/>
      <c r="K361" s="85"/>
      <c r="L361" s="85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AA361" s="16"/>
      <c r="AB361" s="8"/>
      <c r="AD361" s="16"/>
      <c r="AE361" s="8"/>
    </row>
    <row r="362" spans="1:33" ht="15" x14ac:dyDescent="0.2">
      <c r="F362" s="102" t="s">
        <v>370</v>
      </c>
      <c r="H362" s="81">
        <f t="shared" ref="H362:Y362" si="200">IF(H95=0,0,(H97+H109+H140)/H95)</f>
        <v>0</v>
      </c>
      <c r="I362" s="81" t="e">
        <f t="shared" si="200"/>
        <v>#REF!</v>
      </c>
      <c r="J362" s="81">
        <f t="shared" si="200"/>
        <v>0</v>
      </c>
      <c r="K362" s="83">
        <f t="shared" si="200"/>
        <v>0</v>
      </c>
      <c r="L362" s="83">
        <f t="shared" si="200"/>
        <v>0</v>
      </c>
      <c r="M362" s="81">
        <f t="shared" si="200"/>
        <v>0</v>
      </c>
      <c r="N362" s="81" t="e">
        <f t="shared" si="200"/>
        <v>#REF!</v>
      </c>
      <c r="O362" s="81" t="e">
        <f t="shared" si="200"/>
        <v>#REF!</v>
      </c>
      <c r="P362" s="81" t="e">
        <f t="shared" si="200"/>
        <v>#REF!</v>
      </c>
      <c r="Q362" s="81" t="e">
        <f t="shared" si="200"/>
        <v>#REF!</v>
      </c>
      <c r="R362" s="81" t="e">
        <f t="shared" si="200"/>
        <v>#REF!</v>
      </c>
      <c r="S362" s="81" t="e">
        <f t="shared" ref="S362:T362" si="201">IF(S95=0,0,(S97+S109+S140)/S95)</f>
        <v>#REF!</v>
      </c>
      <c r="T362" s="81" t="e">
        <f t="shared" si="201"/>
        <v>#REF!</v>
      </c>
      <c r="U362" s="81" t="e">
        <f t="shared" si="200"/>
        <v>#REF!</v>
      </c>
      <c r="V362" s="81" t="e">
        <f t="shared" si="200"/>
        <v>#REF!</v>
      </c>
      <c r="W362" s="81" t="e">
        <f t="shared" si="200"/>
        <v>#REF!</v>
      </c>
      <c r="X362" s="81" t="e">
        <f t="shared" si="200"/>
        <v>#REF!</v>
      </c>
      <c r="Y362" s="81" t="e">
        <f t="shared" si="200"/>
        <v>#REF!</v>
      </c>
      <c r="AA362" s="81">
        <f>IF(AA95=0,0,(AA97+AA109+AA140)/AA95)</f>
        <v>0</v>
      </c>
      <c r="AB362" s="8"/>
      <c r="AD362" s="81">
        <f>IF(AD95=0,0,(AD97+AD109+AD140)/AD95)</f>
        <v>0</v>
      </c>
      <c r="AE362" s="8"/>
    </row>
    <row r="363" spans="1:33" ht="15" x14ac:dyDescent="0.2">
      <c r="F363" s="102" t="s">
        <v>371</v>
      </c>
      <c r="H363" s="81">
        <f t="shared" ref="H363:Y363" si="202">IF(H96=0,0,(H97+H109+H140)/H96)</f>
        <v>0</v>
      </c>
      <c r="I363" s="81" t="e">
        <f t="shared" si="202"/>
        <v>#REF!</v>
      </c>
      <c r="J363" s="81">
        <f t="shared" si="202"/>
        <v>0</v>
      </c>
      <c r="K363" s="83">
        <f t="shared" si="202"/>
        <v>0</v>
      </c>
      <c r="L363" s="83">
        <f t="shared" si="202"/>
        <v>0</v>
      </c>
      <c r="M363" s="81">
        <f t="shared" si="202"/>
        <v>0</v>
      </c>
      <c r="N363" s="81" t="e">
        <f t="shared" si="202"/>
        <v>#REF!</v>
      </c>
      <c r="O363" s="81" t="e">
        <f t="shared" si="202"/>
        <v>#REF!</v>
      </c>
      <c r="P363" s="81" t="e">
        <f t="shared" si="202"/>
        <v>#REF!</v>
      </c>
      <c r="Q363" s="81" t="e">
        <f t="shared" si="202"/>
        <v>#REF!</v>
      </c>
      <c r="R363" s="81" t="e">
        <f t="shared" si="202"/>
        <v>#REF!</v>
      </c>
      <c r="S363" s="81" t="e">
        <f t="shared" ref="S363:T363" si="203">IF(S96=0,0,(S97+S109+S140)/S96)</f>
        <v>#REF!</v>
      </c>
      <c r="T363" s="81" t="e">
        <f t="shared" si="203"/>
        <v>#REF!</v>
      </c>
      <c r="U363" s="81" t="e">
        <f t="shared" si="202"/>
        <v>#REF!</v>
      </c>
      <c r="V363" s="81" t="e">
        <f t="shared" si="202"/>
        <v>#REF!</v>
      </c>
      <c r="W363" s="81" t="e">
        <f t="shared" si="202"/>
        <v>#REF!</v>
      </c>
      <c r="X363" s="81" t="e">
        <f t="shared" si="202"/>
        <v>#REF!</v>
      </c>
      <c r="Y363" s="81" t="e">
        <f t="shared" si="202"/>
        <v>#REF!</v>
      </c>
      <c r="AA363" s="81">
        <f>IF(AA96=0,0,(AA97+AA109+AA140)/AA96)</f>
        <v>0</v>
      </c>
      <c r="AB363" s="8"/>
      <c r="AD363" s="81">
        <f>IF(AD96=0,0,(AD97+AD109+AD140)/AD96)</f>
        <v>0</v>
      </c>
      <c r="AE363" s="8"/>
    </row>
    <row r="364" spans="1:33" s="11" customFormat="1" ht="15" x14ac:dyDescent="0.2">
      <c r="A364" s="8"/>
      <c r="B364" s="8"/>
      <c r="C364" s="8"/>
      <c r="D364" s="8"/>
      <c r="E364" s="8"/>
      <c r="F364" s="103"/>
      <c r="G364" s="8"/>
      <c r="H364" s="82"/>
      <c r="I364" s="16"/>
      <c r="J364" s="16"/>
      <c r="K364" s="84"/>
      <c r="L364" s="84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8"/>
      <c r="AA364" s="16"/>
      <c r="AB364" s="8"/>
      <c r="AC364" s="8"/>
      <c r="AD364" s="16"/>
      <c r="AE364" s="8"/>
      <c r="AF364" s="8"/>
      <c r="AG364" s="8"/>
    </row>
    <row r="365" spans="1:33" s="11" customFormat="1" ht="15" x14ac:dyDescent="0.2">
      <c r="A365" s="8"/>
      <c r="B365" s="8"/>
      <c r="C365" s="8"/>
      <c r="D365" s="8"/>
      <c r="E365" s="8"/>
      <c r="F365" s="102" t="s">
        <v>356</v>
      </c>
      <c r="G365" s="8"/>
      <c r="H365" s="81">
        <f t="shared" ref="H365:Y365" si="204">IF((H97+H109+H140)=0,0,(H58+H60+H63)/(H97+H109+H140))</f>
        <v>15.499538065059888</v>
      </c>
      <c r="I365" s="81" t="e">
        <f t="shared" si="204"/>
        <v>#REF!</v>
      </c>
      <c r="J365" s="81">
        <f t="shared" si="204"/>
        <v>0</v>
      </c>
      <c r="K365" s="83">
        <f t="shared" si="204"/>
        <v>0</v>
      </c>
      <c r="L365" s="83">
        <f t="shared" si="204"/>
        <v>0</v>
      </c>
      <c r="M365" s="81">
        <f t="shared" si="204"/>
        <v>0</v>
      </c>
      <c r="N365" s="81" t="e">
        <f t="shared" si="204"/>
        <v>#REF!</v>
      </c>
      <c r="O365" s="81" t="e">
        <f t="shared" si="204"/>
        <v>#REF!</v>
      </c>
      <c r="P365" s="81" t="e">
        <f t="shared" si="204"/>
        <v>#REF!</v>
      </c>
      <c r="Q365" s="81" t="e">
        <f t="shared" si="204"/>
        <v>#REF!</v>
      </c>
      <c r="R365" s="81" t="e">
        <f t="shared" si="204"/>
        <v>#REF!</v>
      </c>
      <c r="S365" s="81" t="e">
        <f t="shared" ref="S365:T365" si="205">IF((S97+S109+S140)=0,0,(S58+S60+S63)/(S97+S109+S140))</f>
        <v>#REF!</v>
      </c>
      <c r="T365" s="81" t="e">
        <f t="shared" si="205"/>
        <v>#REF!</v>
      </c>
      <c r="U365" s="81" t="e">
        <f t="shared" si="204"/>
        <v>#REF!</v>
      </c>
      <c r="V365" s="81" t="e">
        <f t="shared" si="204"/>
        <v>#REF!</v>
      </c>
      <c r="W365" s="81" t="e">
        <f t="shared" si="204"/>
        <v>#REF!</v>
      </c>
      <c r="X365" s="81" t="e">
        <f t="shared" si="204"/>
        <v>#REF!</v>
      </c>
      <c r="Y365" s="81" t="e">
        <f t="shared" si="204"/>
        <v>#REF!</v>
      </c>
      <c r="Z365" s="8"/>
      <c r="AA365" s="81">
        <f>IF((AA97+AA109+AA140)=0,0,(AA58+AA60+AA63)/(AA97+AA109+AA140))</f>
        <v>0</v>
      </c>
      <c r="AB365" s="8"/>
      <c r="AC365" s="8"/>
      <c r="AD365" s="81">
        <f>IF((AD97+AD109+AD140)=0,0,(AD58+AD60+AD63)/(AD97+AD109+AD140))</f>
        <v>0</v>
      </c>
      <c r="AE365" s="8"/>
      <c r="AF365" s="8"/>
      <c r="AG365" s="8"/>
    </row>
    <row r="366" spans="1:33" ht="15" x14ac:dyDescent="0.2">
      <c r="F366" s="96"/>
      <c r="H366" s="16"/>
      <c r="I366" s="16"/>
      <c r="J366" s="16"/>
      <c r="K366" s="85"/>
      <c r="L366" s="85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AA366" s="16"/>
      <c r="AB366" s="8"/>
      <c r="AD366" s="16"/>
      <c r="AE366" s="8"/>
    </row>
    <row r="367" spans="1:33" s="11" customFormat="1" ht="15" x14ac:dyDescent="0.2">
      <c r="A367" s="8"/>
      <c r="B367" s="8"/>
      <c r="C367" s="8"/>
      <c r="D367" s="8"/>
      <c r="E367" s="8"/>
      <c r="F367" s="102" t="s">
        <v>254</v>
      </c>
      <c r="G367" s="8"/>
      <c r="H367" s="81">
        <f t="shared" ref="H367:Y367" si="206">IF((H194+H205+H236)=0,0,(H97+H109+H140)/(H194+H205+H236))</f>
        <v>0</v>
      </c>
      <c r="I367" s="81" t="e">
        <f t="shared" si="206"/>
        <v>#REF!</v>
      </c>
      <c r="J367" s="81">
        <f t="shared" si="206"/>
        <v>0</v>
      </c>
      <c r="K367" s="83">
        <f t="shared" si="206"/>
        <v>0</v>
      </c>
      <c r="L367" s="83">
        <f t="shared" si="206"/>
        <v>0</v>
      </c>
      <c r="M367" s="81">
        <f t="shared" si="206"/>
        <v>0</v>
      </c>
      <c r="N367" s="81" t="e">
        <f t="shared" si="206"/>
        <v>#REF!</v>
      </c>
      <c r="O367" s="81" t="e">
        <f t="shared" si="206"/>
        <v>#REF!</v>
      </c>
      <c r="P367" s="81" t="e">
        <f t="shared" si="206"/>
        <v>#REF!</v>
      </c>
      <c r="Q367" s="81" t="e">
        <f t="shared" si="206"/>
        <v>#REF!</v>
      </c>
      <c r="R367" s="81" t="e">
        <f t="shared" si="206"/>
        <v>#REF!</v>
      </c>
      <c r="S367" s="81" t="e">
        <f t="shared" ref="S367:T367" si="207">IF((S194+S205+S236)=0,0,(S97+S109+S140)/(S194+S205+S236))</f>
        <v>#REF!</v>
      </c>
      <c r="T367" s="81" t="e">
        <f t="shared" si="207"/>
        <v>#REF!</v>
      </c>
      <c r="U367" s="81" t="e">
        <f t="shared" si="206"/>
        <v>#REF!</v>
      </c>
      <c r="V367" s="81" t="e">
        <f t="shared" si="206"/>
        <v>#REF!</v>
      </c>
      <c r="W367" s="81" t="e">
        <f t="shared" si="206"/>
        <v>#REF!</v>
      </c>
      <c r="X367" s="81" t="e">
        <f t="shared" si="206"/>
        <v>#REF!</v>
      </c>
      <c r="Y367" s="81" t="e">
        <f t="shared" si="206"/>
        <v>#REF!</v>
      </c>
      <c r="Z367" s="8"/>
      <c r="AA367" s="81">
        <f>IF((AA194+AA205+AA236)=0,0,(AA97+AA109+AA140)/(AA194+AA205+AA236))</f>
        <v>0</v>
      </c>
      <c r="AB367" s="8"/>
      <c r="AC367" s="8"/>
      <c r="AD367" s="81">
        <f>IF((AD194+AD205+AD236)=0,0,(AD97+AD109+AD140)/(AD194+AD205+AD236))</f>
        <v>0</v>
      </c>
      <c r="AE367" s="8"/>
      <c r="AF367" s="8"/>
      <c r="AG367" s="8"/>
    </row>
    <row r="368" spans="1:33" s="11" customFormat="1" ht="15" x14ac:dyDescent="0.2">
      <c r="A368" s="8"/>
      <c r="B368" s="8"/>
      <c r="C368" s="8"/>
      <c r="D368" s="8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8"/>
      <c r="AC368" s="20"/>
      <c r="AD368" s="20"/>
      <c r="AE368" s="8"/>
      <c r="AF368" s="8"/>
      <c r="AG368" s="8"/>
    </row>
    <row r="369" spans="1:33" s="11" customFormat="1" x14ac:dyDescent="0.2">
      <c r="A369" s="42" t="s">
        <v>30</v>
      </c>
      <c r="B369" s="42" t="s">
        <v>17</v>
      </c>
      <c r="C369" s="8"/>
      <c r="D369" s="8"/>
      <c r="E369" s="8"/>
      <c r="F369" s="43" t="s">
        <v>253</v>
      </c>
      <c r="G369" s="8"/>
      <c r="H369" s="44">
        <f>_xll.GetCtData("PKAMOUNT","AMOUNT",$A$1:$A$3,$A369:$B369,H$3:H$5,"#154,799")-H288</f>
        <v>0</v>
      </c>
      <c r="I369" s="44">
        <f>_xll.GetCtData("PKAMOUNT","AMOUNT",$A$1:$A$3,$A369:$B369,I$3:I$5,"#0,542999999999999")-I288</f>
        <v>-3.7747582837255322E-15</v>
      </c>
      <c r="J369" s="44">
        <f>_xll.GetCtData("PKAMOUNT","AMOUNT",$A$1:$A$3,$A369:$B369,J$3:J$5,"#0,542999999999999")-J288</f>
        <v>-3.7747582837255322E-15</v>
      </c>
      <c r="K369" s="44">
        <f>_xll.GetCtData("PKAMOUNT","AMOUNT",$A$1:$A$3,$A369:$B369,K$3:K$5,"#")-K288</f>
        <v>0</v>
      </c>
      <c r="L369" s="44">
        <f>_xll.GetCtData("PKAMOUNT","AMOUNT",$A$1:$A$3,$A369:$B369,L$3:L$5,"#")-L288</f>
        <v>0</v>
      </c>
      <c r="M369" s="44">
        <f>_xll.GetCtData("PKAMOUNT","AMOUNT",$A$1:$A$3,$A369:$B369,M$3:M$5,"#-0,017")-M288</f>
        <v>0</v>
      </c>
      <c r="N369" s="44" t="e">
        <f>IF(N$1&lt;=#REF!,_xll.GetCtData("PKAMOUNT","AMOUNT",$A$1:$A$3,$A369:$B369,N$3:N$5,"#-0,033")-SUM($M288:N288),0)</f>
        <v>#REF!</v>
      </c>
      <c r="O369" s="44" t="e">
        <f>IF(O$1&lt;=#REF!,_xll.GetCtData("PKAMOUNT","AMOUNT",$A$1:$A$3,$A369:$B369,O$3:O$5,"#-0,05")-SUM($M288:O288),0)</f>
        <v>#REF!</v>
      </c>
      <c r="P369" s="44" t="e">
        <f>IF(P$1&lt;=#REF!,_xll.GetCtData("PKAMOUNT","AMOUNT",$A$1:$A$3,$A369:$B369,P$3:P$5,"#-0,066")-SUM($M288:P288),0)</f>
        <v>#REF!</v>
      </c>
      <c r="Q369" s="44" t="e">
        <f>IF(Q$1&lt;=#REF!,_xll.GetCtData("PKAMOUNT","AMOUNT",$A$1:$A$3,$A369:$B369,Q$3:Q$5,"#-0,082")-SUM($M288:Q288),0)</f>
        <v>#REF!</v>
      </c>
      <c r="R369" s="44" t="e">
        <f>IF(R$1&lt;=#REF!,_xll.GetCtData("PKAMOUNT","AMOUNT",$A$1:$A$3,$A369:$B369,R$3:R$5,"#-0,099")-SUM($M288:R288),0)</f>
        <v>#REF!</v>
      </c>
      <c r="S369" s="44" t="e">
        <f>IF(S$1&lt;=#REF!,_xll.GetCtData("PKAMOUNT","AMOUNT",$A$1:$A$3,$A369:$B369,S$3:S$5,"#-0,121")-SUM($M288:S288),0)</f>
        <v>#REF!</v>
      </c>
      <c r="T369" s="44" t="e">
        <f>IF(T$1&lt;=#REF!,_xll.GetCtData("PKAMOUNT","AMOUNT",$A$1:$A$3,$A369:$B369,T$3:T$5,"#-0,141")-SUM($M288:T288),0)</f>
        <v>#REF!</v>
      </c>
      <c r="U369" s="44" t="e">
        <f>IF(U$1&lt;=#REF!,_xll.GetCtData("PKAMOUNT","AMOUNT",$A$1:$A$3,$A369:$B369,U$3:U$5,"#-0,162")-SUM($M288:U288),0)</f>
        <v>#REF!</v>
      </c>
      <c r="V369" s="44" t="e">
        <f>IF(V$1&lt;=#REF!,_xll.GetCtData("PKAMOUNT","AMOUNT",$A$1:$A$3,$A369:$B369,V$3:V$5,"#-0,182")-SUM($M288:V288),0)</f>
        <v>#REF!</v>
      </c>
      <c r="W369" s="44" t="e">
        <f>IF(W$1&lt;=#REF!,_xll.GetCtData("PKAMOUNT","AMOUNT",$A$1:$A$3,$A369:$B369,W$3:W$5,"#-0,202")-SUM($M288:W288),0)</f>
        <v>#REF!</v>
      </c>
      <c r="X369" s="44" t="e">
        <f>IF(X$1&lt;=#REF!,_xll.GetCtData("PKAMOUNT","AMOUNT",$A$1:$A$3,$A369:$B369,X$3:X$5,"#-0,187")-SUM($M288:X288),0)</f>
        <v>#REF!</v>
      </c>
      <c r="Y369" s="44">
        <f>_xll.GetCtData("PKAMOUNT","AMOUNT",$A$1:$A$3,$A369:$B369,Y$3:Y$5,"#-0,187")-Y288</f>
        <v>0</v>
      </c>
      <c r="Z369" s="8"/>
      <c r="AA369" s="8"/>
      <c r="AB369" s="8"/>
      <c r="AC369" s="8"/>
      <c r="AD369" s="8"/>
      <c r="AE369" s="8"/>
      <c r="AF369" s="8"/>
      <c r="AG369" s="8"/>
    </row>
    <row r="370" spans="1:33" s="2" customFormat="1" ht="12.75" x14ac:dyDescent="0.2">
      <c r="F370" s="1"/>
      <c r="K370" s="49"/>
      <c r="L370" s="49"/>
      <c r="AB370" s="8"/>
      <c r="AE370" s="8"/>
    </row>
    <row r="371" spans="1:33" s="11" customFormat="1" x14ac:dyDescent="0.2">
      <c r="A371" s="8"/>
      <c r="B371" s="8"/>
      <c r="C371" s="8"/>
      <c r="D371" s="8"/>
      <c r="F371" s="11" t="s">
        <v>315</v>
      </c>
      <c r="L371" s="125" t="s">
        <v>388</v>
      </c>
      <c r="M371" s="125" t="s">
        <v>364</v>
      </c>
      <c r="N371" s="125" t="s">
        <v>316</v>
      </c>
      <c r="O371" s="125" t="s">
        <v>317</v>
      </c>
      <c r="P371" s="125" t="s">
        <v>318</v>
      </c>
      <c r="Q371" s="125" t="s">
        <v>319</v>
      </c>
      <c r="R371" s="125" t="s">
        <v>365</v>
      </c>
      <c r="S371" s="125" t="s">
        <v>320</v>
      </c>
      <c r="T371" s="125" t="s">
        <v>366</v>
      </c>
      <c r="U371" s="125" t="s">
        <v>367</v>
      </c>
      <c r="V371" s="125" t="s">
        <v>368</v>
      </c>
      <c r="W371" s="125" t="s">
        <v>369</v>
      </c>
      <c r="AB371" s="8"/>
      <c r="AE371" s="8"/>
      <c r="AF371" s="8"/>
      <c r="AG371" s="8"/>
    </row>
    <row r="372" spans="1:33" s="11" customFormat="1" x14ac:dyDescent="0.2">
      <c r="A372" s="8"/>
      <c r="B372" s="8"/>
      <c r="C372" s="8"/>
      <c r="D372" s="8"/>
      <c r="L372" s="126" t="s">
        <v>5</v>
      </c>
      <c r="M372" s="126" t="s">
        <v>6</v>
      </c>
      <c r="N372" s="126" t="s">
        <v>7</v>
      </c>
      <c r="O372" s="126" t="s">
        <v>8</v>
      </c>
      <c r="P372" s="126" t="s">
        <v>9</v>
      </c>
      <c r="Q372" s="126" t="s">
        <v>10</v>
      </c>
      <c r="R372" s="126" t="s">
        <v>321</v>
      </c>
      <c r="S372" s="126" t="s">
        <v>11</v>
      </c>
      <c r="T372" s="126" t="s">
        <v>12</v>
      </c>
      <c r="U372" s="126" t="s">
        <v>13</v>
      </c>
      <c r="V372" s="126" t="s">
        <v>14</v>
      </c>
      <c r="W372" s="126" t="s">
        <v>15</v>
      </c>
      <c r="AB372" s="8"/>
      <c r="AE372" s="8"/>
      <c r="AF372" s="8"/>
      <c r="AG372" s="8"/>
    </row>
    <row r="373" spans="1:33" s="11" customFormat="1" x14ac:dyDescent="0.2">
      <c r="A373" s="8"/>
      <c r="B373" s="8"/>
      <c r="C373" s="8"/>
      <c r="D373" s="8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AB373" s="8"/>
      <c r="AE373" s="8"/>
      <c r="AF373" s="8"/>
      <c r="AG373" s="8"/>
    </row>
    <row r="374" spans="1:33" s="11" customFormat="1" x14ac:dyDescent="0.2">
      <c r="A374" s="42" t="s">
        <v>30</v>
      </c>
      <c r="B374" s="42" t="s">
        <v>17</v>
      </c>
      <c r="C374" s="8"/>
      <c r="D374" s="8"/>
      <c r="F374" s="52" t="e">
        <f>#REF!</f>
        <v>#REF!</v>
      </c>
      <c r="L374" s="55">
        <f>_xll.GetCtData("PKAMOUNT","AMOUNT",$A$1:$A$3,$A374:$B374,M$3:M$4,"DP="&amp;$F374&amp;"."&amp;L$372,"#-0,037")</f>
        <v>-3.6999999999999998E-2</v>
      </c>
      <c r="M374" s="55">
        <f>_xll.GetCtData("PKAMOUNT","AMOUNT",$A$1:$A$3,$A374:$B374,N$3:N$4,"DP="&amp;$F374&amp;"."&amp;M$372,"#-1,231")</f>
        <v>-1.2310000000000001</v>
      </c>
      <c r="N374" s="55">
        <f>_xll.GetCtData("PKAMOUNT","AMOUNT",$A$1:$A$3,$A374:$B374,O$3:O$4,"DP="&amp;$F374&amp;"."&amp;N$372,"#-1,317")</f>
        <v>-1.3169999999999999</v>
      </c>
      <c r="O374" s="55">
        <f>_xll.GetCtData("PKAMOUNT","AMOUNT",$A$1:$A$3,$A374:$B374,P$3:P$4,"DP="&amp;$F374&amp;"."&amp;O$372,"#-4,362")</f>
        <v>-4.3620000000000001</v>
      </c>
      <c r="P374" s="55">
        <f>_xll.GetCtData("PKAMOUNT","AMOUNT",$A$1:$A$3,$A374:$B374,Q$3:Q$4,"DP="&amp;$F374&amp;"."&amp;P$372,"#-5,892")</f>
        <v>-5.8920000000000003</v>
      </c>
      <c r="Q374" s="55">
        <f>_xll.GetCtData("PKAMOUNT","AMOUNT",$A$1:$A$3,$A374:$B374,R$3:R$4,"DP="&amp;$F374&amp;"."&amp;Q$372,"#-5,917")</f>
        <v>-5.9169999999999998</v>
      </c>
      <c r="R374" s="55">
        <f>_xll.GetCtData("PKAMOUNT","AMOUNT",$A$1:$A$3,$A374:$B374,S$3:S$4,"DP="&amp;$F374&amp;"."&amp;R$372,"#-5,942")</f>
        <v>-5.9420000000000002</v>
      </c>
      <c r="S374" s="55">
        <f>_xll.GetCtData("PKAMOUNT","AMOUNT",$A$1:$A$3,$A374:$B374,U$3:U$4,"DP="&amp;$F374&amp;"."&amp;S$372,"#-5,967")</f>
        <v>-5.9669999999999996</v>
      </c>
      <c r="T374" s="55">
        <f>_xll.GetCtData("PKAMOUNT","AMOUNT",$A$1:$A$3,$A374:$B374,V$3:V$4,"DP="&amp;$F374&amp;"."&amp;T$372,"#-5,992")</f>
        <v>-5.992</v>
      </c>
      <c r="U374" s="55">
        <f>_xll.GetCtData("PKAMOUNT","AMOUNT",$A$1:$A$3,$A374:$B374,W$3:W$4,"DP="&amp;$F374&amp;"."&amp;U$372,"#-6,018")</f>
        <v>-6.0179999999999998</v>
      </c>
      <c r="V374" s="55">
        <f>_xll.GetCtData("PKAMOUNT","AMOUNT",$A$1:$A$3,$A374:$B374,X$3:X$4,"DP="&amp;$F374&amp;"."&amp;V$372,"#154,815")</f>
        <v>154.815</v>
      </c>
      <c r="W374" s="55">
        <f>_xll.GetCtData("PKAMOUNT","AMOUNT",$A$1:$A$3,$A374:$B374,Y$3:Y$4,"DP="&amp;$F374&amp;"."&amp;W$372,"#154,799")</f>
        <v>154.79900000000001</v>
      </c>
      <c r="AB374" s="8"/>
      <c r="AE374" s="8"/>
      <c r="AF374" s="8"/>
      <c r="AG374" s="8"/>
    </row>
    <row r="375" spans="1:33" s="11" customFormat="1" x14ac:dyDescent="0.2">
      <c r="A375" s="42" t="s">
        <v>30</v>
      </c>
      <c r="B375" s="42" t="s">
        <v>17</v>
      </c>
      <c r="C375" s="8"/>
      <c r="D375" s="8"/>
      <c r="F375" s="52" t="e">
        <f>#REF!</f>
        <v>#REF!</v>
      </c>
      <c r="L375" s="55">
        <f>_xll.GetCtData("PKAMOUNT","AMOUNT",$A$1:$A$3,$A375:$B375,M$3:M$4,"DP="&amp;$F375&amp;"."&amp;L$372,"#-0,016")</f>
        <v>-1.6E-2</v>
      </c>
      <c r="M375" s="55">
        <f>_xll.GetCtData("PKAMOUNT","AMOUNT",$A$1:$A$3,$A375:$B375,N$3:N$4,"DP="&amp;$F375&amp;"."&amp;M$372,"#-3,033")</f>
        <v>-3.0329999999999999</v>
      </c>
      <c r="N375" s="55">
        <f>_xll.GetCtData("PKAMOUNT","AMOUNT",$A$1:$A$3,$A375:$B375,O$3:O$4,"DP="&amp;$F375&amp;"."&amp;N$372,"#-3,544")</f>
        <v>-3.544</v>
      </c>
      <c r="O375" s="55">
        <f>_xll.GetCtData("PKAMOUNT","AMOUNT",$A$1:$A$3,$A375:$B375,P$3:P$4,"DP="&amp;$F375&amp;"."&amp;O$372,"#-3,6")</f>
        <v>-3.6</v>
      </c>
      <c r="P375" s="55">
        <f>_xll.GetCtData("PKAMOUNT","AMOUNT",$A$1:$A$3,$A375:$B375,Q$3:Q$4,"DP="&amp;$F375&amp;"."&amp;P$372,"#-16,846")</f>
        <v>-16.846</v>
      </c>
      <c r="Q375" s="55">
        <f>_xll.GetCtData("PKAMOUNT","AMOUNT",$A$1:$A$3,$A375:$B375,R$3:R$4,"DP="&amp;$F375&amp;"."&amp;Q$372,"#-3,633")</f>
        <v>-3.633</v>
      </c>
      <c r="R375" s="55">
        <f>_xll.GetCtData("PKAMOUNT","AMOUNT",$A$1:$A$3,$A375:$B375,S$3:S$4,"DP="&amp;$F375&amp;"."&amp;R$372,"#-3,836")</f>
        <v>-3.8359999999999999</v>
      </c>
      <c r="S375" s="55">
        <f>_xll.GetCtData("PKAMOUNT","AMOUNT",$A$1:$A$3,$A375:$B375,U$3:U$4,"DP="&amp;$F375&amp;"."&amp;S$372,"#-3,853")</f>
        <v>-3.8530000000000002</v>
      </c>
      <c r="T375" s="55">
        <f>_xll.GetCtData("PKAMOUNT","AMOUNT",$A$1:$A$3,$A375:$B375,V$3:V$4,"DP="&amp;$F375&amp;"."&amp;T$372,"#-3,869")</f>
        <v>-3.8690000000000002</v>
      </c>
      <c r="U375" s="55">
        <f>_xll.GetCtData("PKAMOUNT","AMOUNT",$A$1:$A$3,$A375:$B375,W$3:W$4,"DP="&amp;$F375&amp;"."&amp;U$372,"#-3,886")</f>
        <v>-3.8860000000000001</v>
      </c>
      <c r="V375" s="55">
        <f>_xll.GetCtData("PKAMOUNT","AMOUNT",$A$1:$A$3,$A375:$B375,X$3:X$4,"DP="&amp;$F375&amp;"."&amp;V$372,"#-5,009")</f>
        <v>-5.0090000000000003</v>
      </c>
      <c r="W375" s="55">
        <f>_xll.GetCtData("PKAMOUNT","AMOUNT",$A$1:$A$3,$A375:$B375,Y$3:Y$4,"DP="&amp;$F375&amp;"."&amp;W$372,"#0,542999999999999")</f>
        <v>0.54299999999999904</v>
      </c>
      <c r="AB375" s="8"/>
      <c r="AE375" s="8"/>
      <c r="AF375" s="8"/>
      <c r="AG375" s="8"/>
    </row>
    <row r="376" spans="1:33" s="11" customFormat="1" x14ac:dyDescent="0.2">
      <c r="A376" s="42" t="s">
        <v>30</v>
      </c>
      <c r="B376" s="42" t="s">
        <v>17</v>
      </c>
      <c r="C376" s="8"/>
      <c r="D376" s="8"/>
      <c r="F376" s="124" t="e">
        <f>#REF!&amp;" "&amp;#REF!</f>
        <v>#REF!</v>
      </c>
      <c r="K376" s="54">
        <f>K288</f>
        <v>0</v>
      </c>
      <c r="L376" s="55">
        <f>$K$376*L$372/12</f>
        <v>0</v>
      </c>
      <c r="M376" s="55">
        <f>$K$376*M$372/12</f>
        <v>0</v>
      </c>
      <c r="N376" s="55">
        <f t="shared" ref="N376:R376" si="208">$K$376*N$372/12</f>
        <v>0</v>
      </c>
      <c r="O376" s="55">
        <f t="shared" si="208"/>
        <v>0</v>
      </c>
      <c r="P376" s="55">
        <f t="shared" si="208"/>
        <v>0</v>
      </c>
      <c r="Q376" s="55">
        <f t="shared" si="208"/>
        <v>0</v>
      </c>
      <c r="R376" s="55">
        <f t="shared" si="208"/>
        <v>0</v>
      </c>
      <c r="S376" s="55">
        <f>$K$376*S$372/12</f>
        <v>0</v>
      </c>
      <c r="T376" s="55">
        <f>$K$376*T$372/12</f>
        <v>0</v>
      </c>
      <c r="U376" s="55">
        <f>$K$376*U$372/12</f>
        <v>0</v>
      </c>
      <c r="V376" s="55">
        <f>$K$376*V$372/12</f>
        <v>0</v>
      </c>
      <c r="W376" s="55">
        <f>$K$376*W$372/12</f>
        <v>0</v>
      </c>
      <c r="AB376" s="8"/>
      <c r="AE376" s="8"/>
      <c r="AF376" s="8"/>
      <c r="AG376" s="8"/>
    </row>
    <row r="377" spans="1:33" s="11" customFormat="1" x14ac:dyDescent="0.2">
      <c r="A377" s="42" t="s">
        <v>30</v>
      </c>
      <c r="B377" s="42" t="s">
        <v>17</v>
      </c>
      <c r="C377" s="8"/>
      <c r="D377" s="8"/>
      <c r="F377" s="52" t="e">
        <f>#REF!</f>
        <v>#REF!</v>
      </c>
      <c r="L377" s="55">
        <f>_xll.GetCtData("PKAMOUNT","AMOUNT",$A$1:$A$3,$A377:$B377,M$3:M$4,"DP="&amp;$F377&amp;"."&amp;L$372,"#-0,017")</f>
        <v>-1.7000000000000001E-2</v>
      </c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AB377" s="8"/>
      <c r="AE377" s="8"/>
      <c r="AF377" s="8"/>
      <c r="AG377" s="8"/>
    </row>
    <row r="378" spans="1:33" s="11" customFormat="1" x14ac:dyDescent="0.2">
      <c r="A378" s="8"/>
      <c r="B378" s="8"/>
      <c r="C378" s="8"/>
      <c r="D378" s="8"/>
      <c r="F378" s="11" t="e">
        <f>"Reste à faire - "&amp;#REF!&amp;" "&amp;#REF!</f>
        <v>#REF!</v>
      </c>
      <c r="K378" s="54">
        <f>L288</f>
        <v>0</v>
      </c>
      <c r="L378" s="55">
        <f t="shared" ref="L378:M378" si="209">IF(AND(L377&lt;&gt;"",M377&lt;&gt;""),"",IF(AND(L377&lt;&gt;"",M377=""),L377,K378+($K378-K378)/($W$372-L$372+1)))</f>
        <v>-1.7000000000000001E-2</v>
      </c>
      <c r="M378" s="55">
        <f t="shared" si="209"/>
        <v>-1.5454545454545455E-2</v>
      </c>
      <c r="N378" s="55">
        <f t="shared" ref="N378:W378" si="210">IF(AND(N377&lt;&gt;"",P377&lt;&gt;""),"",IF(AND(N377&lt;&gt;"",P377=""),N377,M378+($K378-M378)/($W$372-N$372+1)))</f>
        <v>-1.3909090909090909E-2</v>
      </c>
      <c r="O378" s="55">
        <f t="shared" si="210"/>
        <v>-1.2363636363636363E-2</v>
      </c>
      <c r="P378" s="55">
        <f t="shared" si="210"/>
        <v>-1.0818181818181817E-2</v>
      </c>
      <c r="Q378" s="55">
        <f t="shared" si="210"/>
        <v>-9.272727272727271E-3</v>
      </c>
      <c r="R378" s="55">
        <f t="shared" si="210"/>
        <v>-7.7272727272727259E-3</v>
      </c>
      <c r="S378" s="55">
        <f t="shared" si="210"/>
        <v>-6.1818181818181807E-3</v>
      </c>
      <c r="T378" s="55">
        <f t="shared" si="210"/>
        <v>-4.6363636363636355E-3</v>
      </c>
      <c r="U378" s="55">
        <f t="shared" si="210"/>
        <v>-3.0909090909090903E-3</v>
      </c>
      <c r="V378" s="55">
        <f>IF(AND(V377&lt;&gt;"",W377&lt;&gt;""),"",IF(AND(V377&lt;&gt;"",W377=""),V377,U378+($K378-U378)/($W$372-V$372+1)))</f>
        <v>-1.5454545454545452E-3</v>
      </c>
      <c r="W378" s="55">
        <f t="shared" si="210"/>
        <v>0</v>
      </c>
      <c r="AB378" s="8"/>
      <c r="AE378" s="8"/>
      <c r="AF378" s="8"/>
      <c r="AG378" s="8"/>
    </row>
    <row r="379" spans="1:33" s="2" customFormat="1" ht="12.75" x14ac:dyDescent="0.2">
      <c r="F379" s="1"/>
      <c r="K379" s="49"/>
      <c r="L379" s="49"/>
      <c r="AB379" s="8"/>
      <c r="AE379" s="8"/>
    </row>
    <row r="380" spans="1:33" s="2" customFormat="1" ht="12.75" x14ac:dyDescent="0.2">
      <c r="F380" s="1"/>
      <c r="K380" s="49"/>
      <c r="L380" s="49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AB380" s="8"/>
      <c r="AE380" s="8"/>
    </row>
    <row r="381" spans="1:33" s="2" customFormat="1" ht="12.75" x14ac:dyDescent="0.2">
      <c r="F381" s="1"/>
      <c r="K381" s="49"/>
      <c r="L381" s="49"/>
      <c r="AB381" s="8"/>
      <c r="AE381" s="8"/>
    </row>
    <row r="382" spans="1:33" s="2" customFormat="1" ht="12.75" x14ac:dyDescent="0.2">
      <c r="F382" s="1"/>
      <c r="K382" s="49"/>
      <c r="L382" s="49"/>
      <c r="AB382" s="8"/>
      <c r="AE382" s="8"/>
    </row>
    <row r="383" spans="1:33" s="2" customFormat="1" ht="12.75" x14ac:dyDescent="0.2">
      <c r="F383" s="1"/>
      <c r="K383" s="49"/>
      <c r="L383" s="49"/>
      <c r="R383" s="93"/>
      <c r="S383" s="93"/>
      <c r="T383" s="93"/>
      <c r="AB383" s="8"/>
      <c r="AE383" s="8"/>
    </row>
    <row r="384" spans="1:33" s="2" customFormat="1" ht="12.75" x14ac:dyDescent="0.2">
      <c r="F384" s="1"/>
      <c r="K384" s="49"/>
      <c r="L384" s="49"/>
      <c r="AB384" s="8"/>
      <c r="AE384" s="8"/>
    </row>
    <row r="385" spans="6:31" s="2" customFormat="1" ht="12.75" x14ac:dyDescent="0.2">
      <c r="F385" s="1"/>
      <c r="K385" s="49"/>
      <c r="L385" s="49"/>
      <c r="AB385" s="8"/>
      <c r="AE385" s="8"/>
    </row>
    <row r="386" spans="6:31" s="2" customFormat="1" ht="12.75" x14ac:dyDescent="0.2">
      <c r="F386" s="1"/>
      <c r="K386" s="49"/>
      <c r="L386" s="49"/>
      <c r="AB386" s="8"/>
      <c r="AE386" s="8"/>
    </row>
    <row r="387" spans="6:31" s="2" customFormat="1" ht="12.75" x14ac:dyDescent="0.2">
      <c r="F387" s="1"/>
      <c r="K387" s="49"/>
      <c r="L387" s="49"/>
      <c r="AB387" s="8"/>
      <c r="AE387" s="8"/>
    </row>
    <row r="388" spans="6:31" s="2" customFormat="1" ht="12.75" x14ac:dyDescent="0.2">
      <c r="F388" s="1"/>
      <c r="K388" s="49"/>
      <c r="L388" s="49"/>
      <c r="AB388" s="8"/>
      <c r="AE388" s="8"/>
    </row>
    <row r="389" spans="6:31" s="2" customFormat="1" ht="12.75" x14ac:dyDescent="0.2">
      <c r="F389" s="1"/>
      <c r="K389" s="49"/>
      <c r="L389" s="49"/>
      <c r="AB389" s="8"/>
      <c r="AE389" s="8"/>
    </row>
    <row r="390" spans="6:31" s="2" customFormat="1" x14ac:dyDescent="0.2">
      <c r="F390" s="1"/>
      <c r="K390" s="49"/>
      <c r="L390" s="49"/>
      <c r="AB390" s="8"/>
      <c r="AE390" s="3"/>
    </row>
    <row r="391" spans="6:31" s="2" customFormat="1" x14ac:dyDescent="0.2">
      <c r="F391" s="1"/>
      <c r="K391" s="49"/>
      <c r="L391" s="49"/>
      <c r="AB391" s="3"/>
      <c r="AE391" s="3"/>
    </row>
    <row r="392" spans="6:31" s="2" customFormat="1" x14ac:dyDescent="0.2">
      <c r="F392" s="1"/>
      <c r="K392" s="49"/>
      <c r="L392" s="49"/>
      <c r="AB392" s="3"/>
      <c r="AE392" s="3"/>
    </row>
    <row r="393" spans="6:31" s="2" customFormat="1" x14ac:dyDescent="0.2">
      <c r="F393" s="1"/>
      <c r="K393" s="49"/>
      <c r="L393" s="49"/>
      <c r="AB393" s="3"/>
      <c r="AE393" s="3"/>
    </row>
    <row r="394" spans="6:31" s="2" customFormat="1" x14ac:dyDescent="0.2">
      <c r="F394" s="1"/>
      <c r="K394" s="49"/>
      <c r="L394" s="49"/>
      <c r="AB394" s="3"/>
      <c r="AE394" s="3"/>
    </row>
    <row r="395" spans="6:31" s="2" customFormat="1" x14ac:dyDescent="0.2">
      <c r="F395" s="1"/>
      <c r="K395" s="49"/>
      <c r="L395" s="49"/>
      <c r="AB395" s="3"/>
      <c r="AE395" s="3"/>
    </row>
    <row r="396" spans="6:31" s="2" customFormat="1" x14ac:dyDescent="0.2">
      <c r="F396" s="1"/>
      <c r="K396" s="49"/>
      <c r="L396" s="49"/>
      <c r="AB396" s="3"/>
      <c r="AE396" s="3"/>
    </row>
    <row r="397" spans="6:31" s="2" customFormat="1" x14ac:dyDescent="0.2">
      <c r="F397" s="1"/>
      <c r="K397" s="49"/>
      <c r="L397" s="49"/>
      <c r="AB397" s="3"/>
      <c r="AE397" s="3"/>
    </row>
    <row r="398" spans="6:31" s="2" customFormat="1" x14ac:dyDescent="0.2">
      <c r="F398" s="1"/>
      <c r="K398" s="49"/>
      <c r="L398" s="49"/>
      <c r="AB398" s="3"/>
      <c r="AE398" s="3"/>
    </row>
    <row r="399" spans="6:31" s="2" customFormat="1" x14ac:dyDescent="0.2">
      <c r="F399" s="1"/>
      <c r="K399" s="49"/>
      <c r="L399" s="49"/>
      <c r="AB399" s="3"/>
      <c r="AE399" s="3"/>
    </row>
    <row r="400" spans="6:31" s="2" customFormat="1" x14ac:dyDescent="0.2">
      <c r="F400" s="1"/>
      <c r="K400" s="49"/>
      <c r="L400" s="49"/>
      <c r="AB400" s="3"/>
      <c r="AE400" s="3"/>
    </row>
    <row r="401" spans="6:31" s="2" customFormat="1" x14ac:dyDescent="0.2">
      <c r="F401" s="1"/>
      <c r="K401" s="49"/>
      <c r="L401" s="49"/>
      <c r="AB401" s="3"/>
      <c r="AE401" s="3"/>
    </row>
    <row r="402" spans="6:31" s="2" customFormat="1" x14ac:dyDescent="0.2">
      <c r="F402" s="1"/>
      <c r="K402" s="49"/>
      <c r="L402" s="49"/>
      <c r="AB402" s="3"/>
      <c r="AE402" s="3"/>
    </row>
    <row r="403" spans="6:31" s="2" customFormat="1" x14ac:dyDescent="0.2">
      <c r="F403" s="1"/>
      <c r="K403" s="49"/>
      <c r="L403" s="49"/>
      <c r="AB403" s="3"/>
      <c r="AE403" s="3"/>
    </row>
    <row r="404" spans="6:31" s="2" customFormat="1" x14ac:dyDescent="0.2">
      <c r="F404" s="1"/>
      <c r="K404" s="49"/>
      <c r="L404" s="49"/>
      <c r="AB404" s="3"/>
      <c r="AE404" s="3"/>
    </row>
    <row r="405" spans="6:31" s="2" customFormat="1" x14ac:dyDescent="0.2">
      <c r="F405" s="1"/>
      <c r="K405" s="49"/>
      <c r="L405" s="49"/>
      <c r="AB405" s="3"/>
      <c r="AE405" s="3"/>
    </row>
    <row r="406" spans="6:31" s="2" customFormat="1" x14ac:dyDescent="0.2">
      <c r="F406" s="1"/>
      <c r="K406" s="49"/>
      <c r="L406" s="49"/>
      <c r="AB406" s="3"/>
      <c r="AE406" s="3"/>
    </row>
    <row r="407" spans="6:31" s="2" customFormat="1" x14ac:dyDescent="0.2">
      <c r="F407" s="1"/>
      <c r="K407" s="49"/>
      <c r="L407" s="49"/>
      <c r="AB407" s="3"/>
      <c r="AE407" s="3"/>
    </row>
    <row r="408" spans="6:31" s="2" customFormat="1" x14ac:dyDescent="0.2">
      <c r="F408" s="1"/>
      <c r="K408" s="49"/>
      <c r="L408" s="49"/>
      <c r="AB408" s="3"/>
      <c r="AE408" s="3"/>
    </row>
    <row r="409" spans="6:31" s="2" customFormat="1" x14ac:dyDescent="0.2">
      <c r="F409" s="1"/>
      <c r="K409" s="49"/>
      <c r="L409" s="49"/>
      <c r="AB409" s="3"/>
      <c r="AE409" s="3"/>
    </row>
    <row r="410" spans="6:31" s="2" customFormat="1" x14ac:dyDescent="0.2">
      <c r="F410" s="1"/>
      <c r="K410" s="49"/>
      <c r="L410" s="49"/>
      <c r="AB410" s="3"/>
      <c r="AE410" s="3"/>
    </row>
    <row r="411" spans="6:31" s="2" customFormat="1" x14ac:dyDescent="0.2">
      <c r="F411" s="1"/>
      <c r="K411" s="49"/>
      <c r="L411" s="49"/>
      <c r="AB411" s="3"/>
      <c r="AE411" s="3"/>
    </row>
    <row r="412" spans="6:31" s="2" customFormat="1" x14ac:dyDescent="0.2">
      <c r="F412" s="1"/>
      <c r="K412" s="49"/>
      <c r="L412" s="49"/>
      <c r="AB412" s="3"/>
      <c r="AE412" s="3"/>
    </row>
    <row r="413" spans="6:31" s="2" customFormat="1" x14ac:dyDescent="0.2">
      <c r="F413" s="1"/>
      <c r="K413" s="49"/>
      <c r="L413" s="49"/>
      <c r="AB413" s="3"/>
      <c r="AE413" s="3"/>
    </row>
    <row r="414" spans="6:31" s="2" customFormat="1" x14ac:dyDescent="0.2">
      <c r="F414" s="1"/>
      <c r="K414" s="49"/>
      <c r="L414" s="49"/>
      <c r="AB414" s="3"/>
      <c r="AE414" s="3"/>
    </row>
    <row r="415" spans="6:31" s="2" customFormat="1" x14ac:dyDescent="0.2">
      <c r="F415" s="1"/>
      <c r="K415" s="49"/>
      <c r="L415" s="49"/>
      <c r="AB415" s="3"/>
      <c r="AE415" s="3"/>
    </row>
    <row r="416" spans="6:31" s="2" customFormat="1" x14ac:dyDescent="0.2">
      <c r="F416" s="1"/>
      <c r="K416" s="49"/>
      <c r="L416" s="49"/>
      <c r="AB416" s="3"/>
      <c r="AE416" s="3"/>
    </row>
    <row r="417" spans="6:31" s="2" customFormat="1" x14ac:dyDescent="0.2">
      <c r="F417" s="1"/>
      <c r="K417" s="49"/>
      <c r="L417" s="49"/>
      <c r="AB417" s="3"/>
      <c r="AE417" s="3"/>
    </row>
    <row r="418" spans="6:31" s="2" customFormat="1" x14ac:dyDescent="0.2">
      <c r="F418" s="1"/>
      <c r="K418" s="49"/>
      <c r="L418" s="49"/>
      <c r="AB418" s="3"/>
      <c r="AE418" s="3"/>
    </row>
    <row r="419" spans="6:31" s="2" customFormat="1" x14ac:dyDescent="0.2">
      <c r="F419" s="1"/>
      <c r="K419" s="49"/>
      <c r="L419" s="49"/>
      <c r="AB419" s="3"/>
      <c r="AE419" s="3"/>
    </row>
    <row r="420" spans="6:31" s="2" customFormat="1" x14ac:dyDescent="0.2">
      <c r="F420" s="1"/>
      <c r="K420" s="49"/>
      <c r="L420" s="49"/>
      <c r="AB420" s="3"/>
      <c r="AE420" s="3"/>
    </row>
    <row r="421" spans="6:31" s="2" customFormat="1" x14ac:dyDescent="0.2">
      <c r="F421" s="1"/>
      <c r="K421" s="49"/>
      <c r="L421" s="49"/>
      <c r="AB421" s="3"/>
      <c r="AE421" s="3"/>
    </row>
    <row r="422" spans="6:31" s="2" customFormat="1" x14ac:dyDescent="0.2">
      <c r="F422" s="1"/>
      <c r="K422" s="49"/>
      <c r="L422" s="49"/>
      <c r="AB422" s="3"/>
      <c r="AE422" s="3"/>
    </row>
  </sheetData>
  <mergeCells count="5">
    <mergeCell ref="AE9:AE10"/>
    <mergeCell ref="F9:F10"/>
    <mergeCell ref="AA9:AA10"/>
    <mergeCell ref="AB9:AB10"/>
    <mergeCell ref="AD9:AD10"/>
  </mergeCells>
  <conditionalFormatting sqref="AC290:AC334 AC368 AC371:AC378 AE1:AE1048576">
    <cfRule type="expression" dxfId="215" priority="49" stopIfTrue="1">
      <formula>($D1&gt;0)</formula>
    </cfRule>
    <cfRule type="expression" dxfId="214" priority="50" stopIfTrue="1">
      <formula>AND($D1&lt;0,$D1&gt;=$AE$2)</formula>
    </cfRule>
    <cfRule type="expression" dxfId="213" priority="51" stopIfTrue="1">
      <formula>($D1&lt;$AE$2)</formula>
    </cfRule>
  </conditionalFormatting>
  <conditionalFormatting sqref="AB1:AB1048576">
    <cfRule type="expression" dxfId="212" priority="46" stopIfTrue="1">
      <formula>($C1&gt;0)</formula>
    </cfRule>
    <cfRule type="expression" dxfId="211" priority="47" stopIfTrue="1">
      <formula>AND($C1&lt;0,$C1&gt;=$AB$2)</formula>
    </cfRule>
    <cfRule type="expression" dxfId="210" priority="48" stopIfTrue="1">
      <formula>($C1&lt;$AB$2)</formula>
    </cfRule>
  </conditionalFormatting>
  <conditionalFormatting sqref="AB9:AB10">
    <cfRule type="expression" dxfId="209" priority="40" stopIfTrue="1">
      <formula>($C9&gt;0)</formula>
    </cfRule>
    <cfRule type="expression" dxfId="208" priority="41" stopIfTrue="1">
      <formula>AND($C9&lt;0,$C9&gt;=$AB$2)</formula>
    </cfRule>
    <cfRule type="expression" dxfId="207" priority="42" stopIfTrue="1">
      <formula>($C9&lt;$AB$2)</formula>
    </cfRule>
  </conditionalFormatting>
  <conditionalFormatting sqref="AE9:AE10">
    <cfRule type="expression" dxfId="206" priority="37" stopIfTrue="1">
      <formula>($D9&gt;0)</formula>
    </cfRule>
    <cfRule type="expression" dxfId="205" priority="38" stopIfTrue="1">
      <formula>AND($D9&lt;0,$D9&gt;=$AE$2)</formula>
    </cfRule>
    <cfRule type="expression" dxfId="204" priority="39" stopIfTrue="1">
      <formula>($D9&lt;$AE$2)</formula>
    </cfRule>
  </conditionalFormatting>
  <conditionalFormatting sqref="AD353">
    <cfRule type="expression" dxfId="203" priority="34" stopIfTrue="1">
      <formula>($D353&gt;0)</formula>
    </cfRule>
    <cfRule type="expression" dxfId="202" priority="35" stopIfTrue="1">
      <formula>AND($D353&lt;0,$D353&gt;=$AE$2)</formula>
    </cfRule>
    <cfRule type="expression" dxfId="201" priority="36" stopIfTrue="1">
      <formula>($D353&lt;$AE$2)</formula>
    </cfRule>
  </conditionalFormatting>
  <conditionalFormatting sqref="AD356">
    <cfRule type="expression" dxfId="200" priority="31" stopIfTrue="1">
      <formula>($D356&gt;0)</formula>
    </cfRule>
    <cfRule type="expression" dxfId="199" priority="32" stopIfTrue="1">
      <formula>AND($D356&lt;0,$D356&gt;=$AE$2)</formula>
    </cfRule>
    <cfRule type="expression" dxfId="198" priority="33" stopIfTrue="1">
      <formula>($D356&lt;$AE$2)</formula>
    </cfRule>
  </conditionalFormatting>
  <conditionalFormatting sqref="AB135">
    <cfRule type="expression" dxfId="197" priority="28" stopIfTrue="1">
      <formula>($C135&gt;0)</formula>
    </cfRule>
    <cfRule type="expression" dxfId="196" priority="29" stopIfTrue="1">
      <formula>AND($C135&lt;0,$C135&gt;=$AB$2)</formula>
    </cfRule>
    <cfRule type="expression" dxfId="195" priority="30" stopIfTrue="1">
      <formula>($C135&lt;$AB$2)</formula>
    </cfRule>
  </conditionalFormatting>
  <conditionalFormatting sqref="AE135">
    <cfRule type="expression" dxfId="194" priority="25" stopIfTrue="1">
      <formula>($D135&gt;0)</formula>
    </cfRule>
    <cfRule type="expression" dxfId="193" priority="26" stopIfTrue="1">
      <formula>AND($D135&lt;0,$D135&gt;=$AE$2)</formula>
    </cfRule>
    <cfRule type="expression" dxfId="192" priority="27" stopIfTrue="1">
      <formula>($D135&lt;$AE$2)</formula>
    </cfRule>
  </conditionalFormatting>
  <conditionalFormatting sqref="AE135">
    <cfRule type="expression" dxfId="191" priority="22" stopIfTrue="1">
      <formula>($D135&gt;0)</formula>
    </cfRule>
    <cfRule type="expression" dxfId="190" priority="23" stopIfTrue="1">
      <formula>AND($D135&lt;0,$D135&gt;=$AE$2)</formula>
    </cfRule>
    <cfRule type="expression" dxfId="189" priority="24" stopIfTrue="1">
      <formula>($D135&lt;$AE$2)</formula>
    </cfRule>
  </conditionalFormatting>
  <conditionalFormatting sqref="AB135">
    <cfRule type="expression" dxfId="188" priority="19" stopIfTrue="1">
      <formula>($C135&gt;0)</formula>
    </cfRule>
    <cfRule type="expression" dxfId="187" priority="20" stopIfTrue="1">
      <formula>AND($C135&lt;0,$C135&gt;=$AB$2)</formula>
    </cfRule>
    <cfRule type="expression" dxfId="186" priority="21" stopIfTrue="1">
      <formula>($C135&lt;$AB$2)</formula>
    </cfRule>
  </conditionalFormatting>
  <conditionalFormatting sqref="AE135">
    <cfRule type="expression" dxfId="185" priority="16" stopIfTrue="1">
      <formula>($D135&gt;0)</formula>
    </cfRule>
    <cfRule type="expression" dxfId="184" priority="17" stopIfTrue="1">
      <formula>AND($D135&lt;0,$D135&gt;=$AE$2)</formula>
    </cfRule>
    <cfRule type="expression" dxfId="183" priority="18" stopIfTrue="1">
      <formula>($D135&lt;$AE$2)</formula>
    </cfRule>
  </conditionalFormatting>
  <conditionalFormatting sqref="AB135">
    <cfRule type="expression" dxfId="182" priority="13" stopIfTrue="1">
      <formula>($C135&gt;0)</formula>
    </cfRule>
    <cfRule type="expression" dxfId="181" priority="14" stopIfTrue="1">
      <formula>AND($C135&lt;0,$C135&gt;=$AB$2)</formula>
    </cfRule>
    <cfRule type="expression" dxfId="180" priority="15" stopIfTrue="1">
      <formula>($C135&lt;$AB$2)</formula>
    </cfRule>
  </conditionalFormatting>
  <conditionalFormatting sqref="AB223">
    <cfRule type="expression" dxfId="179" priority="10" stopIfTrue="1">
      <formula>($C223&gt;0)</formula>
    </cfRule>
    <cfRule type="expression" dxfId="178" priority="11" stopIfTrue="1">
      <formula>AND($C223&lt;0,$C223&gt;=$AB$2)</formula>
    </cfRule>
    <cfRule type="expression" dxfId="177" priority="12" stopIfTrue="1">
      <formula>($C223&lt;$AB$2)</formula>
    </cfRule>
  </conditionalFormatting>
  <conditionalFormatting sqref="AE223">
    <cfRule type="expression" dxfId="176" priority="7" stopIfTrue="1">
      <formula>($D223&gt;0)</formula>
    </cfRule>
    <cfRule type="expression" dxfId="175" priority="8" stopIfTrue="1">
      <formula>AND($D223&lt;0,$D223&gt;=$AE$2)</formula>
    </cfRule>
    <cfRule type="expression" dxfId="174" priority="9" stopIfTrue="1">
      <formula>($D223&lt;$AE$2)</formula>
    </cfRule>
  </conditionalFormatting>
  <conditionalFormatting sqref="AB223">
    <cfRule type="expression" dxfId="173" priority="4" stopIfTrue="1">
      <formula>($C223&gt;0)</formula>
    </cfRule>
    <cfRule type="expression" dxfId="172" priority="5" stopIfTrue="1">
      <formula>AND($C223&lt;0,$C223&gt;=$AB$2)</formula>
    </cfRule>
    <cfRule type="expression" dxfId="171" priority="6" stopIfTrue="1">
      <formula>($C223&lt;$AB$2)</formula>
    </cfRule>
  </conditionalFormatting>
  <conditionalFormatting sqref="AE223">
    <cfRule type="expression" dxfId="170" priority="1" stopIfTrue="1">
      <formula>($D223&gt;0)</formula>
    </cfRule>
    <cfRule type="expression" dxfId="169" priority="2" stopIfTrue="1">
      <formula>AND($D223&lt;0,$D223&gt;=$AE$2)</formula>
    </cfRule>
    <cfRule type="expression" dxfId="168" priority="3" stopIfTrue="1">
      <formula>($D223&lt;$AE$2)</formula>
    </cfRule>
  </conditionalFormatting>
  <printOptions horizontalCentered="1"/>
  <pageMargins left="0" right="0" top="0" bottom="0" header="0.11811023622047245" footer="7.874015748031496E-2"/>
  <pageSetup paperSize="9" scale="44" fitToHeight="2" orientation="portrait" r:id="rId1"/>
  <headerFooter alignWithMargins="0">
    <oddHeader>&amp;CFICHE SUIVEUSE&amp;R&amp;D - &amp;T</oddHeader>
  </headerFooter>
  <rowBreaks count="1" manualBreakCount="1">
    <brk id="194" min="5" max="25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435"/>
  <sheetViews>
    <sheetView showGridLines="0" topLeftCell="E1" zoomScale="70" zoomScaleNormal="70" zoomScaleSheetLayoutView="75" workbookViewId="0">
      <pane ySplit="10" topLeftCell="A11" activePane="bottomLeft" state="frozen"/>
      <selection activeCell="W25" sqref="W25"/>
      <selection pane="bottomLeft" activeCell="X16" sqref="X16"/>
    </sheetView>
  </sheetViews>
  <sheetFormatPr baseColWidth="10" defaultRowHeight="14.25" outlineLevelRow="2" outlineLevelCol="1" x14ac:dyDescent="0.2"/>
  <cols>
    <col min="1" max="1" width="24.85546875" style="8" hidden="1" customWidth="1" outlineLevel="1"/>
    <col min="2" max="2" width="30.42578125" style="8" hidden="1" customWidth="1" outlineLevel="1"/>
    <col min="3" max="4" width="12.5703125" style="8" hidden="1" customWidth="1" outlineLevel="1"/>
    <col min="5" max="5" width="2.7109375" style="8" customWidth="1" collapsed="1"/>
    <col min="6" max="6" width="35.28515625" style="7" customWidth="1"/>
    <col min="7" max="7" width="1.140625" style="8" customWidth="1"/>
    <col min="8" max="10" width="10.140625" style="8" customWidth="1"/>
    <col min="11" max="11" width="10.140625" style="9" customWidth="1" outlineLevel="1"/>
    <col min="12" max="12" width="10.5703125" style="9" customWidth="1"/>
    <col min="13" max="24" width="8.7109375" style="8" customWidth="1"/>
    <col min="25" max="25" width="10.140625" style="8" customWidth="1"/>
    <col min="26" max="26" width="1.140625" style="8" customWidth="1"/>
    <col min="27" max="27" width="10.140625" style="8" customWidth="1"/>
    <col min="28" max="28" width="8.7109375" style="11" customWidth="1"/>
    <col min="29" max="29" width="1.140625" style="8" customWidth="1"/>
    <col min="30" max="30" width="10.140625" style="8" customWidth="1" outlineLevel="1"/>
    <col min="31" max="31" width="8.7109375" style="11" customWidth="1" outlineLevel="1"/>
    <col min="32" max="16384" width="11.42578125" style="8"/>
  </cols>
  <sheetData>
    <row r="1" spans="1:31" hidden="1" outlineLevel="1" x14ac:dyDescent="0.2">
      <c r="A1" s="7" t="s">
        <v>3</v>
      </c>
      <c r="B1" s="7"/>
      <c r="I1" s="10" t="s">
        <v>15</v>
      </c>
      <c r="M1" s="10" t="s">
        <v>5</v>
      </c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321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15</v>
      </c>
      <c r="AB1" s="53"/>
      <c r="AE1" s="53"/>
    </row>
    <row r="2" spans="1:31" ht="12.75" hidden="1" outlineLevel="1" x14ac:dyDescent="0.2">
      <c r="A2" s="7" t="s">
        <v>4</v>
      </c>
      <c r="B2" s="7"/>
      <c r="H2" s="12" t="s">
        <v>27</v>
      </c>
      <c r="I2" s="12" t="s">
        <v>28</v>
      </c>
      <c r="J2" s="12" t="s">
        <v>29</v>
      </c>
      <c r="K2" s="13" t="s">
        <v>32</v>
      </c>
      <c r="L2" s="13" t="s">
        <v>33</v>
      </c>
      <c r="M2" s="14" t="b">
        <v>1</v>
      </c>
      <c r="N2" s="14" t="b">
        <v>1</v>
      </c>
      <c r="O2" s="14" t="b">
        <v>1</v>
      </c>
      <c r="P2" s="14" t="b">
        <v>1</v>
      </c>
      <c r="Q2" s="14" t="b">
        <v>1</v>
      </c>
      <c r="R2" s="14" t="b">
        <v>1</v>
      </c>
      <c r="S2" s="14" t="b">
        <v>1</v>
      </c>
      <c r="T2" s="14" t="b">
        <v>1</v>
      </c>
      <c r="U2" s="14" t="b">
        <v>1</v>
      </c>
      <c r="V2" s="14" t="b">
        <v>1</v>
      </c>
      <c r="W2" s="14" t="b">
        <v>1</v>
      </c>
      <c r="X2" s="14" t="b">
        <v>1</v>
      </c>
      <c r="Y2" s="12" t="s">
        <v>33</v>
      </c>
      <c r="AA2" s="128"/>
      <c r="AB2" s="129">
        <v>-0.15</v>
      </c>
      <c r="AD2" s="128"/>
      <c r="AE2" s="129">
        <v>-0.15</v>
      </c>
    </row>
    <row r="3" spans="1:31" hidden="1" outlineLevel="1" x14ac:dyDescent="0.15">
      <c r="A3" s="7" t="s">
        <v>419</v>
      </c>
      <c r="B3" s="7"/>
      <c r="H3" s="127" t="s">
        <v>459</v>
      </c>
      <c r="I3" s="127" t="s">
        <v>459</v>
      </c>
      <c r="J3" s="127" t="s">
        <v>459</v>
      </c>
      <c r="K3" s="130" t="s">
        <v>460</v>
      </c>
      <c r="L3" s="130" t="s">
        <v>461</v>
      </c>
      <c r="M3" s="127" t="s">
        <v>459</v>
      </c>
      <c r="N3" s="127" t="s">
        <v>459</v>
      </c>
      <c r="O3" s="127" t="s">
        <v>459</v>
      </c>
      <c r="P3" s="127" t="s">
        <v>459</v>
      </c>
      <c r="Q3" s="127" t="s">
        <v>459</v>
      </c>
      <c r="R3" s="127" t="s">
        <v>459</v>
      </c>
      <c r="S3" s="127" t="s">
        <v>459</v>
      </c>
      <c r="T3" s="127" t="s">
        <v>459</v>
      </c>
      <c r="U3" s="127" t="s">
        <v>459</v>
      </c>
      <c r="V3" s="127" t="s">
        <v>459</v>
      </c>
      <c r="W3" s="127" t="s">
        <v>459</v>
      </c>
      <c r="X3" s="127" t="s">
        <v>459</v>
      </c>
      <c r="Y3" s="127" t="s">
        <v>459</v>
      </c>
      <c r="AB3" s="53"/>
      <c r="AE3" s="53"/>
    </row>
    <row r="4" spans="1:31" hidden="1" outlineLevel="1" x14ac:dyDescent="0.15">
      <c r="A4" s="15" t="s">
        <v>462</v>
      </c>
      <c r="B4" s="7"/>
      <c r="H4" s="127" t="s">
        <v>463</v>
      </c>
      <c r="I4" s="127" t="s">
        <v>463</v>
      </c>
      <c r="J4" s="127" t="s">
        <v>463</v>
      </c>
      <c r="K4" s="130" t="s">
        <v>464</v>
      </c>
      <c r="L4" s="130" t="s">
        <v>465</v>
      </c>
      <c r="M4" s="127" t="s">
        <v>463</v>
      </c>
      <c r="N4" s="127" t="s">
        <v>463</v>
      </c>
      <c r="O4" s="127" t="s">
        <v>463</v>
      </c>
      <c r="P4" s="127" t="s">
        <v>463</v>
      </c>
      <c r="Q4" s="127" t="s">
        <v>463</v>
      </c>
      <c r="R4" s="127" t="s">
        <v>463</v>
      </c>
      <c r="S4" s="127" t="s">
        <v>463</v>
      </c>
      <c r="T4" s="127" t="s">
        <v>463</v>
      </c>
      <c r="U4" s="127" t="s">
        <v>463</v>
      </c>
      <c r="V4" s="127" t="s">
        <v>463</v>
      </c>
      <c r="W4" s="127" t="s">
        <v>463</v>
      </c>
      <c r="X4" s="127" t="s">
        <v>463</v>
      </c>
      <c r="Y4" s="127" t="s">
        <v>463</v>
      </c>
      <c r="AA4" s="128"/>
      <c r="AB4" s="131"/>
      <c r="AD4" s="128"/>
      <c r="AE4" s="131"/>
    </row>
    <row r="5" spans="1:31" hidden="1" outlineLevel="1" x14ac:dyDescent="0.15">
      <c r="B5" s="7"/>
      <c r="H5" s="127" t="s">
        <v>466</v>
      </c>
      <c r="I5" s="127" t="s">
        <v>467</v>
      </c>
      <c r="J5" s="127" t="s">
        <v>467</v>
      </c>
      <c r="K5" s="130" t="s">
        <v>468</v>
      </c>
      <c r="L5" s="130" t="s">
        <v>469</v>
      </c>
      <c r="M5" s="127" t="s">
        <v>468</v>
      </c>
      <c r="N5" s="127" t="s">
        <v>470</v>
      </c>
      <c r="O5" s="127" t="s">
        <v>471</v>
      </c>
      <c r="P5" s="127" t="s">
        <v>472</v>
      </c>
      <c r="Q5" s="127" t="s">
        <v>473</v>
      </c>
      <c r="R5" s="127" t="s">
        <v>474</v>
      </c>
      <c r="S5" s="127" t="s">
        <v>475</v>
      </c>
      <c r="T5" s="127" t="s">
        <v>476</v>
      </c>
      <c r="U5" s="127" t="s">
        <v>477</v>
      </c>
      <c r="V5" s="127" t="s">
        <v>478</v>
      </c>
      <c r="W5" s="127" t="s">
        <v>479</v>
      </c>
      <c r="X5" s="127" t="s">
        <v>480</v>
      </c>
      <c r="Y5" s="127" t="s">
        <v>480</v>
      </c>
      <c r="AA5" s="128"/>
      <c r="AB5" s="131"/>
      <c r="AD5" s="128"/>
      <c r="AE5" s="131"/>
    </row>
    <row r="6" spans="1:31" hidden="1" outlineLevel="1" x14ac:dyDescent="0.2">
      <c r="G6" s="7"/>
      <c r="I6" s="9" t="s">
        <v>481</v>
      </c>
      <c r="J6" s="9" t="s">
        <v>481</v>
      </c>
      <c r="K6" s="9" t="s">
        <v>481</v>
      </c>
      <c r="L6" s="9" t="s">
        <v>481</v>
      </c>
      <c r="AB6" s="53"/>
      <c r="AE6" s="53"/>
    </row>
    <row r="7" spans="1:31" s="16" customFormat="1" ht="15.75" collapsed="1" x14ac:dyDescent="0.2">
      <c r="F7" s="17" t="s">
        <v>389</v>
      </c>
      <c r="K7" s="18"/>
      <c r="L7" s="18"/>
      <c r="M7" s="19"/>
      <c r="AB7" s="20"/>
      <c r="AE7" s="20"/>
    </row>
    <row r="8" spans="1:31" s="21" customFormat="1" ht="7.5" customHeight="1" x14ac:dyDescent="0.2">
      <c r="F8" s="22"/>
      <c r="G8" s="16"/>
      <c r="J8" s="24"/>
      <c r="K8" s="23"/>
      <c r="L8" s="23"/>
      <c r="Z8" s="16"/>
      <c r="AA8" s="24"/>
      <c r="AB8" s="22"/>
      <c r="AD8" s="24"/>
      <c r="AE8" s="22"/>
    </row>
    <row r="9" spans="1:31" ht="12.75" customHeight="1" x14ac:dyDescent="0.2">
      <c r="F9" s="295" t="s">
        <v>429</v>
      </c>
      <c r="G9" s="16"/>
      <c r="H9" s="135" t="s">
        <v>1</v>
      </c>
      <c r="I9" s="26" t="s">
        <v>1</v>
      </c>
      <c r="J9" s="26" t="s">
        <v>1</v>
      </c>
      <c r="K9" s="136" t="s">
        <v>380</v>
      </c>
      <c r="L9" s="136" t="s">
        <v>449</v>
      </c>
      <c r="M9" s="27" t="s">
        <v>1</v>
      </c>
      <c r="N9" s="27" t="s">
        <v>1</v>
      </c>
      <c r="O9" s="27" t="s">
        <v>1</v>
      </c>
      <c r="P9" s="27" t="s">
        <v>1</v>
      </c>
      <c r="Q9" s="27" t="s">
        <v>1</v>
      </c>
      <c r="R9" s="27" t="s">
        <v>1</v>
      </c>
      <c r="S9" s="27" t="s">
        <v>1</v>
      </c>
      <c r="T9" s="27" t="s">
        <v>1</v>
      </c>
      <c r="U9" s="27" t="s">
        <v>1</v>
      </c>
      <c r="V9" s="27" t="s">
        <v>1</v>
      </c>
      <c r="W9" s="27" t="s">
        <v>1</v>
      </c>
      <c r="X9" s="27" t="s">
        <v>1</v>
      </c>
      <c r="Y9" s="139" t="s">
        <v>1</v>
      </c>
      <c r="Z9" s="16"/>
      <c r="AA9" s="296" t="s">
        <v>482</v>
      </c>
      <c r="AB9" s="298" t="s">
        <v>483</v>
      </c>
      <c r="AC9" s="25"/>
      <c r="AD9" s="296" t="s">
        <v>484</v>
      </c>
      <c r="AE9" s="298" t="s">
        <v>485</v>
      </c>
    </row>
    <row r="10" spans="1:31" ht="12.75" customHeight="1" x14ac:dyDescent="0.2">
      <c r="F10" s="295"/>
      <c r="G10" s="16"/>
      <c r="H10" s="28" t="s">
        <v>486</v>
      </c>
      <c r="I10" s="28" t="s">
        <v>487</v>
      </c>
      <c r="J10" s="28" t="s">
        <v>487</v>
      </c>
      <c r="K10" s="137" t="s">
        <v>450</v>
      </c>
      <c r="L10" s="137" t="s">
        <v>450</v>
      </c>
      <c r="M10" s="29" t="s">
        <v>5</v>
      </c>
      <c r="N10" s="29" t="s">
        <v>6</v>
      </c>
      <c r="O10" s="29" t="s">
        <v>7</v>
      </c>
      <c r="P10" s="29" t="s">
        <v>8</v>
      </c>
      <c r="Q10" s="29" t="s">
        <v>9</v>
      </c>
      <c r="R10" s="29" t="s">
        <v>10</v>
      </c>
      <c r="S10" s="29" t="s">
        <v>321</v>
      </c>
      <c r="T10" s="29" t="s">
        <v>11</v>
      </c>
      <c r="U10" s="29" t="s">
        <v>12</v>
      </c>
      <c r="V10" s="29" t="s">
        <v>13</v>
      </c>
      <c r="W10" s="29" t="s">
        <v>14</v>
      </c>
      <c r="X10" s="29" t="s">
        <v>15</v>
      </c>
      <c r="Y10" s="140" t="s">
        <v>488</v>
      </c>
      <c r="Z10" s="16"/>
      <c r="AA10" s="297"/>
      <c r="AB10" s="299"/>
      <c r="AC10" s="25"/>
      <c r="AD10" s="297"/>
      <c r="AE10" s="299"/>
    </row>
    <row r="11" spans="1:31" ht="18" hidden="1" customHeight="1" outlineLevel="1" x14ac:dyDescent="0.2">
      <c r="A11" s="30" t="s">
        <v>2</v>
      </c>
      <c r="B11" s="30" t="s">
        <v>230</v>
      </c>
      <c r="C11" s="4">
        <v>-5.8366623177810176E-2</v>
      </c>
      <c r="D11" s="4">
        <v>1.7206296660989412E-2</v>
      </c>
      <c r="F11" s="94" t="s">
        <v>280</v>
      </c>
      <c r="G11" s="16"/>
      <c r="H11" s="59">
        <v>646.08299999999997</v>
      </c>
      <c r="I11" s="59">
        <v>787.28200000000004</v>
      </c>
      <c r="J11" s="59">
        <v>787.28200000000004</v>
      </c>
      <c r="K11" s="86">
        <v>742.71900000000005</v>
      </c>
      <c r="L11" s="86">
        <v>687.53899999999999</v>
      </c>
      <c r="M11" s="59">
        <v>60.027000000000001</v>
      </c>
      <c r="N11" s="59">
        <v>67.462999999999994</v>
      </c>
      <c r="O11" s="59">
        <v>59.399999999999991</v>
      </c>
      <c r="P11" s="59">
        <v>55.597000000000008</v>
      </c>
      <c r="Q11" s="59">
        <v>62.799999999999983</v>
      </c>
      <c r="R11" s="59">
        <v>60.814999999999998</v>
      </c>
      <c r="S11" s="59">
        <v>60.629000000000019</v>
      </c>
      <c r="T11" s="59">
        <v>53.477000000000032</v>
      </c>
      <c r="U11" s="59">
        <v>52.357000000000028</v>
      </c>
      <c r="V11" s="59">
        <v>54.065999999999917</v>
      </c>
      <c r="W11" s="59">
        <v>51.427999999999997</v>
      </c>
      <c r="X11" s="59">
        <v>61.311000000000035</v>
      </c>
      <c r="Y11" s="59">
        <v>699.37</v>
      </c>
      <c r="Z11" s="16"/>
      <c r="AA11" s="59">
        <v>742.71900000000005</v>
      </c>
      <c r="AB11" s="60">
        <v>-43.35</v>
      </c>
      <c r="AC11" s="31"/>
      <c r="AD11" s="59">
        <v>687.5390000000001</v>
      </c>
      <c r="AE11" s="60">
        <v>11.83</v>
      </c>
    </row>
    <row r="12" spans="1:31" ht="18" hidden="1" customHeight="1" outlineLevel="1" x14ac:dyDescent="0.2">
      <c r="A12" s="30" t="s">
        <v>2</v>
      </c>
      <c r="B12" s="30" t="s">
        <v>233</v>
      </c>
      <c r="C12" s="4">
        <v>-1.2408625693737994E-2</v>
      </c>
      <c r="D12" s="4">
        <v>3.7189896851740706E-2</v>
      </c>
      <c r="F12" s="94" t="s">
        <v>281</v>
      </c>
      <c r="G12" s="16"/>
      <c r="H12" s="59">
        <v>1485.713</v>
      </c>
      <c r="I12" s="59">
        <v>1570.89</v>
      </c>
      <c r="J12" s="59">
        <v>1570.89</v>
      </c>
      <c r="K12" s="86">
        <v>1471.557</v>
      </c>
      <c r="L12" s="86">
        <v>1401.1869999999999</v>
      </c>
      <c r="M12" s="59">
        <v>125.783</v>
      </c>
      <c r="N12" s="59">
        <v>110.56699999999999</v>
      </c>
      <c r="O12" s="59">
        <v>127.97</v>
      </c>
      <c r="P12" s="59">
        <v>125.80599999999998</v>
      </c>
      <c r="Q12" s="59">
        <v>122.93299999999999</v>
      </c>
      <c r="R12" s="59">
        <v>123.04399999999998</v>
      </c>
      <c r="S12" s="59">
        <v>121.7940000000001</v>
      </c>
      <c r="T12" s="59">
        <v>116.91399999999999</v>
      </c>
      <c r="U12" s="59">
        <v>106.76699999999994</v>
      </c>
      <c r="V12" s="59">
        <v>126.98700000000008</v>
      </c>
      <c r="W12" s="59">
        <v>120.05499999999984</v>
      </c>
      <c r="X12" s="59">
        <v>124.67700000000013</v>
      </c>
      <c r="Y12" s="59">
        <v>1453.297</v>
      </c>
      <c r="Z12" s="16"/>
      <c r="AA12" s="59">
        <v>1471.557</v>
      </c>
      <c r="AB12" s="60">
        <v>-18.260000000000002</v>
      </c>
      <c r="AC12" s="31"/>
      <c r="AD12" s="59">
        <v>1401.1869999999999</v>
      </c>
      <c r="AE12" s="60">
        <v>52.11</v>
      </c>
    </row>
    <row r="13" spans="1:31" ht="18" hidden="1" customHeight="1" outlineLevel="1" x14ac:dyDescent="0.2">
      <c r="A13" s="30" t="s">
        <v>2</v>
      </c>
      <c r="B13" s="30" t="s">
        <v>229</v>
      </c>
      <c r="C13" s="4">
        <v>6.5378541992022393E-2</v>
      </c>
      <c r="D13" s="4">
        <v>9.993664871713652E-3</v>
      </c>
      <c r="F13" s="94" t="s">
        <v>282</v>
      </c>
      <c r="G13" s="16"/>
      <c r="H13" s="59">
        <v>3279.11</v>
      </c>
      <c r="I13" s="59">
        <v>3205.627</v>
      </c>
      <c r="J13" s="59">
        <v>3205.627</v>
      </c>
      <c r="K13" s="86">
        <v>2992.8780000000002</v>
      </c>
      <c r="L13" s="86">
        <v>3157</v>
      </c>
      <c r="M13" s="59">
        <v>248.626</v>
      </c>
      <c r="N13" s="59">
        <v>261.95899999999995</v>
      </c>
      <c r="O13" s="59">
        <v>205.43100000000004</v>
      </c>
      <c r="P13" s="59">
        <v>324.99000000000012</v>
      </c>
      <c r="Q13" s="59">
        <v>274.62899999999991</v>
      </c>
      <c r="R13" s="59">
        <v>260.67699999999991</v>
      </c>
      <c r="S13" s="59">
        <v>262.39900000000011</v>
      </c>
      <c r="T13" s="59">
        <v>257.27499999999986</v>
      </c>
      <c r="U13" s="59">
        <v>272.43100000000004</v>
      </c>
      <c r="V13" s="59">
        <v>263.45400000000018</v>
      </c>
      <c r="W13" s="59">
        <v>282.93100000000004</v>
      </c>
      <c r="X13" s="59">
        <v>273.7489999999998</v>
      </c>
      <c r="Y13" s="59">
        <v>3188.5509999999999</v>
      </c>
      <c r="Z13" s="16"/>
      <c r="AA13" s="59">
        <v>2992.8780000000002</v>
      </c>
      <c r="AB13" s="60">
        <v>195.67</v>
      </c>
      <c r="AC13" s="31"/>
      <c r="AD13" s="59">
        <v>3157</v>
      </c>
      <c r="AE13" s="60">
        <v>31.55</v>
      </c>
    </row>
    <row r="14" spans="1:31" ht="18" hidden="1" customHeight="1" outlineLevel="1" x14ac:dyDescent="0.2">
      <c r="A14" s="30" t="s">
        <v>2</v>
      </c>
      <c r="B14" s="30" t="s">
        <v>232</v>
      </c>
      <c r="C14" s="4">
        <v>-0.1829503000113212</v>
      </c>
      <c r="D14" s="4">
        <v>-8.690088455268094E-2</v>
      </c>
      <c r="F14" s="94" t="s">
        <v>283</v>
      </c>
      <c r="G14" s="16"/>
      <c r="H14" s="59">
        <v>174.01400000000001</v>
      </c>
      <c r="I14" s="59">
        <v>248.964</v>
      </c>
      <c r="J14" s="59">
        <v>248.964</v>
      </c>
      <c r="K14" s="86">
        <v>309.15499999999997</v>
      </c>
      <c r="L14" s="86">
        <v>276.637</v>
      </c>
      <c r="M14" s="59">
        <v>11.503</v>
      </c>
      <c r="N14" s="59">
        <v>27.302</v>
      </c>
      <c r="O14" s="59">
        <v>27.761999999999993</v>
      </c>
      <c r="P14" s="59">
        <v>22.816000000000003</v>
      </c>
      <c r="Q14" s="59">
        <v>23.477000000000004</v>
      </c>
      <c r="R14" s="59">
        <v>23.507999999999996</v>
      </c>
      <c r="S14" s="59">
        <v>21.924000000000007</v>
      </c>
      <c r="T14" s="59">
        <v>22.173000000000002</v>
      </c>
      <c r="U14" s="59">
        <v>19.935000000000002</v>
      </c>
      <c r="V14" s="59">
        <v>18.507000000000005</v>
      </c>
      <c r="W14" s="59">
        <v>15.387999999999977</v>
      </c>
      <c r="X14" s="59">
        <v>18.302000000000021</v>
      </c>
      <c r="Y14" s="59">
        <v>252.59700000000001</v>
      </c>
      <c r="Z14" s="16"/>
      <c r="AA14" s="59">
        <v>309.15499999999997</v>
      </c>
      <c r="AB14" s="60">
        <v>-56.56</v>
      </c>
      <c r="AC14" s="31"/>
      <c r="AD14" s="59">
        <v>276.637</v>
      </c>
      <c r="AE14" s="60">
        <v>-24.04</v>
      </c>
    </row>
    <row r="15" spans="1:31" ht="18" hidden="1" customHeight="1" outlineLevel="1" x14ac:dyDescent="0.2">
      <c r="A15" s="30" t="s">
        <v>2</v>
      </c>
      <c r="B15" s="30" t="s">
        <v>231</v>
      </c>
      <c r="C15" s="4">
        <v>-0.9771220868077829</v>
      </c>
      <c r="D15" s="4">
        <v>2</v>
      </c>
      <c r="F15" s="94" t="s">
        <v>284</v>
      </c>
      <c r="G15" s="16"/>
      <c r="H15" s="59">
        <v>3.9550000000000001</v>
      </c>
      <c r="I15" s="59">
        <v>6.7000000000000004E-2</v>
      </c>
      <c r="J15" s="59">
        <v>6.7000000000000004E-2</v>
      </c>
      <c r="K15" s="86">
        <v>4.6769999999999996</v>
      </c>
      <c r="L15" s="86">
        <v>3.5000000000000003E-2</v>
      </c>
      <c r="M15" s="59">
        <v>-3.3000000000000002E-2</v>
      </c>
      <c r="N15" s="59">
        <v>0.05</v>
      </c>
      <c r="O15" s="59">
        <v>8.9999999999999976E-3</v>
      </c>
      <c r="P15" s="59">
        <v>3.0000000000000027E-3</v>
      </c>
      <c r="Q15" s="59">
        <v>2.9999999999999992E-3</v>
      </c>
      <c r="R15" s="59">
        <v>1.9999999999999997E-2</v>
      </c>
      <c r="S15" s="59">
        <v>3.0000000000000027E-3</v>
      </c>
      <c r="T15" s="59">
        <v>3.0000000000000027E-3</v>
      </c>
      <c r="U15" s="59">
        <v>1.9999999999999997E-2</v>
      </c>
      <c r="V15" s="59">
        <v>3.0000000000000027E-3</v>
      </c>
      <c r="W15" s="59">
        <v>3.0000000000000027E-3</v>
      </c>
      <c r="X15" s="59">
        <v>2.0999999999999991E-2</v>
      </c>
      <c r="Y15" s="59">
        <v>0.105</v>
      </c>
      <c r="Z15" s="16"/>
      <c r="AA15" s="59">
        <v>4.6769999999999996</v>
      </c>
      <c r="AB15" s="60">
        <v>-4.57</v>
      </c>
      <c r="AC15" s="31"/>
      <c r="AD15" s="59">
        <v>3.5000000000000003E-2</v>
      </c>
      <c r="AE15" s="60">
        <v>7.0000000000000007E-2</v>
      </c>
    </row>
    <row r="16" spans="1:31" ht="18" customHeight="1" collapsed="1" x14ac:dyDescent="0.2">
      <c r="A16" s="30" t="s">
        <v>2</v>
      </c>
      <c r="B16" s="30" t="s">
        <v>203</v>
      </c>
      <c r="C16" s="4">
        <v>1.307747767130708E-2</v>
      </c>
      <c r="D16" s="4">
        <v>1.2950895607306825E-2</v>
      </c>
      <c r="E16" s="9"/>
      <c r="F16" s="51" t="s">
        <v>285</v>
      </c>
      <c r="G16" s="16"/>
      <c r="H16" s="61">
        <v>5588.875</v>
      </c>
      <c r="I16" s="61">
        <v>5812.83</v>
      </c>
      <c r="J16" s="61">
        <v>5812.83</v>
      </c>
      <c r="K16" s="86">
        <v>5521.7070000000003</v>
      </c>
      <c r="L16" s="86">
        <v>5522.3980000000001</v>
      </c>
      <c r="M16" s="61">
        <v>445.90600000000001</v>
      </c>
      <c r="N16" s="61">
        <v>467.34099999999995</v>
      </c>
      <c r="O16" s="61">
        <v>420.572</v>
      </c>
      <c r="P16" s="61">
        <v>529.21199999999999</v>
      </c>
      <c r="Q16" s="61">
        <v>483.8420000000001</v>
      </c>
      <c r="R16" s="61">
        <v>468.06399999999985</v>
      </c>
      <c r="S16" s="61">
        <v>466.74900000000025</v>
      </c>
      <c r="T16" s="61">
        <v>449.84199999999964</v>
      </c>
      <c r="U16" s="61">
        <v>451.50999999999976</v>
      </c>
      <c r="V16" s="61">
        <v>463.01700000000073</v>
      </c>
      <c r="W16" s="61">
        <v>469.80499999999938</v>
      </c>
      <c r="X16" s="61">
        <v>478.0600000000004</v>
      </c>
      <c r="Y16" s="61">
        <v>5593.92</v>
      </c>
      <c r="Z16" s="16"/>
      <c r="AA16" s="61">
        <v>5521.7069999999994</v>
      </c>
      <c r="AB16" s="60">
        <v>72.209999999999994</v>
      </c>
      <c r="AD16" s="61">
        <v>5522.3980000000001</v>
      </c>
      <c r="AE16" s="60">
        <v>71.52</v>
      </c>
    </row>
    <row r="17" spans="1:33" ht="18" customHeight="1" x14ac:dyDescent="0.2">
      <c r="A17" s="30" t="s">
        <v>2</v>
      </c>
      <c r="B17" s="30" t="s">
        <v>31</v>
      </c>
      <c r="C17" s="4">
        <v>0</v>
      </c>
      <c r="D17" s="4">
        <v>0</v>
      </c>
      <c r="F17" s="51" t="s">
        <v>286</v>
      </c>
      <c r="G17" s="16"/>
      <c r="H17" s="61">
        <v>-7.3999999999999996E-2</v>
      </c>
      <c r="I17" s="61">
        <v>0.20699999999999999</v>
      </c>
      <c r="J17" s="61">
        <v>0.20699999999999999</v>
      </c>
      <c r="K17" s="86">
        <v>0</v>
      </c>
      <c r="L17" s="86">
        <v>0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61">
        <v>0</v>
      </c>
      <c r="W17" s="61">
        <v>0</v>
      </c>
      <c r="X17" s="61">
        <v>0</v>
      </c>
      <c r="Y17" s="61">
        <v>0</v>
      </c>
      <c r="Z17" s="16"/>
      <c r="AA17" s="61">
        <v>0</v>
      </c>
      <c r="AB17" s="60">
        <v>0</v>
      </c>
      <c r="AD17" s="61">
        <v>0</v>
      </c>
      <c r="AE17" s="60">
        <v>0</v>
      </c>
    </row>
    <row r="18" spans="1:33" s="7" customFormat="1" ht="18" customHeight="1" x14ac:dyDescent="0.2">
      <c r="A18" s="32"/>
      <c r="B18" s="32"/>
      <c r="C18" s="4">
        <v>1.307747767130708E-2</v>
      </c>
      <c r="D18" s="4">
        <v>1.2950895607306825E-2</v>
      </c>
      <c r="E18" s="8"/>
      <c r="F18" s="45" t="s">
        <v>217</v>
      </c>
      <c r="G18" s="16"/>
      <c r="H18" s="62">
        <v>5588.8010000000004</v>
      </c>
      <c r="I18" s="62">
        <v>5813.0370000000003</v>
      </c>
      <c r="J18" s="62">
        <v>5813.0370000000003</v>
      </c>
      <c r="K18" s="108">
        <v>5521.7070000000003</v>
      </c>
      <c r="L18" s="108">
        <v>5522.3980000000001</v>
      </c>
      <c r="M18" s="62">
        <v>445.90600000000001</v>
      </c>
      <c r="N18" s="62">
        <v>467.34099999999995</v>
      </c>
      <c r="O18" s="62">
        <v>420.572</v>
      </c>
      <c r="P18" s="62">
        <v>529.21199999999999</v>
      </c>
      <c r="Q18" s="62">
        <v>483.8420000000001</v>
      </c>
      <c r="R18" s="62">
        <v>468.06399999999985</v>
      </c>
      <c r="S18" s="62">
        <v>466.74900000000025</v>
      </c>
      <c r="T18" s="62">
        <v>449.84199999999964</v>
      </c>
      <c r="U18" s="62">
        <v>451.50999999999976</v>
      </c>
      <c r="V18" s="62">
        <v>463.01700000000073</v>
      </c>
      <c r="W18" s="62">
        <v>469.80499999999938</v>
      </c>
      <c r="X18" s="62">
        <v>478.0600000000004</v>
      </c>
      <c r="Y18" s="62">
        <v>5593.92</v>
      </c>
      <c r="Z18" s="16"/>
      <c r="AA18" s="62">
        <v>5521.7069999999994</v>
      </c>
      <c r="AB18" s="60">
        <v>72.209999999999994</v>
      </c>
      <c r="AD18" s="62">
        <v>5522.3980000000001</v>
      </c>
      <c r="AE18" s="60">
        <v>71.52</v>
      </c>
    </row>
    <row r="19" spans="1:33" ht="8.25" customHeight="1" x14ac:dyDescent="0.2">
      <c r="A19" s="116"/>
      <c r="F19" s="8"/>
      <c r="G19" s="16"/>
      <c r="K19" s="8"/>
      <c r="L19" s="8"/>
      <c r="Z19" s="16"/>
      <c r="AB19" s="8"/>
      <c r="AE19" s="8"/>
    </row>
    <row r="20" spans="1:33" s="7" customFormat="1" ht="18" customHeight="1" x14ac:dyDescent="0.2">
      <c r="A20" s="117" t="s">
        <v>310</v>
      </c>
      <c r="B20" s="117" t="s">
        <v>203</v>
      </c>
      <c r="C20" s="5">
        <v>0.14305486284289276</v>
      </c>
      <c r="D20" s="5">
        <v>0.18747409326424869</v>
      </c>
      <c r="F20" s="118" t="s">
        <v>326</v>
      </c>
      <c r="G20" s="16"/>
      <c r="H20" s="120">
        <v>738.37300000000005</v>
      </c>
      <c r="I20" s="120">
        <v>854.73</v>
      </c>
      <c r="J20" s="120">
        <v>854.73</v>
      </c>
      <c r="K20" s="121">
        <v>802</v>
      </c>
      <c r="L20" s="121">
        <v>772</v>
      </c>
      <c r="M20" s="120">
        <v>73.046999999999997</v>
      </c>
      <c r="N20" s="120">
        <v>86.384999999999991</v>
      </c>
      <c r="O20" s="120">
        <v>93.791000000000025</v>
      </c>
      <c r="P20" s="120">
        <v>98.839999999999975</v>
      </c>
      <c r="Q20" s="120">
        <v>50.211000000000013</v>
      </c>
      <c r="R20" s="120">
        <v>85.047000000000025</v>
      </c>
      <c r="S20" s="120">
        <v>41.833999999999946</v>
      </c>
      <c r="T20" s="120">
        <v>71.199000000000069</v>
      </c>
      <c r="U20" s="120">
        <v>85.851999999999975</v>
      </c>
      <c r="V20" s="120">
        <v>36.381999999999948</v>
      </c>
      <c r="W20" s="120">
        <v>103.13100000000009</v>
      </c>
      <c r="X20" s="120">
        <v>91.014999999999986</v>
      </c>
      <c r="Y20" s="120">
        <v>916.73400000000004</v>
      </c>
      <c r="Z20" s="16"/>
      <c r="AA20" s="120">
        <v>802</v>
      </c>
      <c r="AB20" s="60">
        <v>114.73</v>
      </c>
      <c r="AD20" s="120">
        <v>772</v>
      </c>
      <c r="AE20" s="60">
        <v>144.72999999999999</v>
      </c>
    </row>
    <row r="21" spans="1:33" ht="8.25" customHeight="1" x14ac:dyDescent="0.2">
      <c r="A21" s="116"/>
      <c r="F21" s="8"/>
      <c r="G21" s="16"/>
      <c r="K21" s="8"/>
      <c r="L21" s="8"/>
      <c r="Z21" s="16"/>
      <c r="AB21" s="8"/>
      <c r="AE21" s="8"/>
    </row>
    <row r="22" spans="1:33" ht="18" customHeight="1" x14ac:dyDescent="0.2">
      <c r="A22" s="30" t="s">
        <v>310</v>
      </c>
      <c r="B22" s="30" t="s">
        <v>115</v>
      </c>
      <c r="C22" s="4">
        <v>0</v>
      </c>
      <c r="D22" s="4">
        <v>0</v>
      </c>
      <c r="F22" s="51" t="s">
        <v>327</v>
      </c>
      <c r="G22" s="16"/>
      <c r="H22" s="61">
        <v>0</v>
      </c>
      <c r="I22" s="61">
        <v>0</v>
      </c>
      <c r="J22" s="61">
        <v>0</v>
      </c>
      <c r="K22" s="86">
        <v>0</v>
      </c>
      <c r="L22" s="86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16"/>
      <c r="AA22" s="61">
        <v>0</v>
      </c>
      <c r="AB22" s="60">
        <v>0</v>
      </c>
      <c r="AC22" s="34"/>
      <c r="AD22" s="61">
        <v>0</v>
      </c>
      <c r="AE22" s="60">
        <v>0</v>
      </c>
    </row>
    <row r="23" spans="1:33" ht="18" customHeight="1" x14ac:dyDescent="0.2">
      <c r="A23" s="30" t="s">
        <v>310</v>
      </c>
      <c r="B23" s="30" t="s">
        <v>116</v>
      </c>
      <c r="C23" s="4">
        <v>0</v>
      </c>
      <c r="D23" s="4">
        <v>0</v>
      </c>
      <c r="F23" s="51" t="s">
        <v>328</v>
      </c>
      <c r="G23" s="16"/>
      <c r="H23" s="61">
        <v>1.0549999999999999</v>
      </c>
      <c r="I23" s="61">
        <v>0</v>
      </c>
      <c r="J23" s="61">
        <v>0</v>
      </c>
      <c r="K23" s="86">
        <v>0</v>
      </c>
      <c r="L23" s="86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16"/>
      <c r="AA23" s="61">
        <v>0</v>
      </c>
      <c r="AB23" s="60">
        <v>0</v>
      </c>
      <c r="AC23" s="34"/>
      <c r="AD23" s="61">
        <v>0</v>
      </c>
      <c r="AE23" s="60">
        <v>0</v>
      </c>
    </row>
    <row r="24" spans="1:33" ht="18" hidden="1" customHeight="1" outlineLevel="1" x14ac:dyDescent="0.2">
      <c r="A24" s="46" t="s">
        <v>298</v>
      </c>
      <c r="B24" s="46" t="s">
        <v>117</v>
      </c>
      <c r="C24" s="47">
        <v>0.98039215686274517</v>
      </c>
      <c r="D24" s="47">
        <v>0.98039215686274517</v>
      </c>
      <c r="E24" s="31"/>
      <c r="F24" s="94" t="s">
        <v>329</v>
      </c>
      <c r="G24" s="16"/>
      <c r="H24" s="59">
        <v>8.4480000000000004</v>
      </c>
      <c r="I24" s="59">
        <v>1.2490000000000001</v>
      </c>
      <c r="J24" s="59">
        <v>1.2490000000000001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2.7E-2</v>
      </c>
      <c r="X24" s="59">
        <v>7.4999999999999997E-2</v>
      </c>
      <c r="Y24" s="59">
        <v>0.10199999999999999</v>
      </c>
      <c r="Z24" s="16"/>
      <c r="AA24" s="59">
        <v>0</v>
      </c>
      <c r="AB24" s="63">
        <v>0.1</v>
      </c>
      <c r="AC24" s="31"/>
      <c r="AD24" s="59">
        <v>0</v>
      </c>
      <c r="AE24" s="63">
        <v>0.1</v>
      </c>
    </row>
    <row r="25" spans="1:33" ht="18" customHeight="1" collapsed="1" x14ac:dyDescent="0.2">
      <c r="A25" s="32"/>
      <c r="B25" s="32"/>
      <c r="C25" s="4">
        <v>0</v>
      </c>
      <c r="D25" s="4">
        <v>0</v>
      </c>
      <c r="F25" s="51" t="s">
        <v>372</v>
      </c>
      <c r="G25" s="16"/>
      <c r="H25" s="61">
        <v>0</v>
      </c>
      <c r="I25" s="61">
        <v>0</v>
      </c>
      <c r="J25" s="61">
        <v>0</v>
      </c>
      <c r="K25" s="86">
        <v>0</v>
      </c>
      <c r="L25" s="86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16"/>
      <c r="AA25" s="61">
        <v>0</v>
      </c>
      <c r="AB25" s="60">
        <v>0</v>
      </c>
      <c r="AC25" s="34"/>
      <c r="AD25" s="61">
        <v>0</v>
      </c>
      <c r="AE25" s="60">
        <v>0</v>
      </c>
      <c r="AG25" s="48"/>
    </row>
    <row r="26" spans="1:33" ht="18" customHeight="1" x14ac:dyDescent="0.2">
      <c r="A26" s="30" t="s">
        <v>310</v>
      </c>
      <c r="B26" s="30" t="s">
        <v>330</v>
      </c>
      <c r="C26" s="4">
        <v>0</v>
      </c>
      <c r="D26" s="4">
        <v>0</v>
      </c>
      <c r="F26" s="51" t="s">
        <v>331</v>
      </c>
      <c r="G26" s="16"/>
      <c r="H26" s="61">
        <v>0</v>
      </c>
      <c r="I26" s="61">
        <v>0</v>
      </c>
      <c r="J26" s="61">
        <v>0</v>
      </c>
      <c r="K26" s="86">
        <v>0</v>
      </c>
      <c r="L26" s="86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16"/>
      <c r="AA26" s="61">
        <v>0</v>
      </c>
      <c r="AB26" s="60">
        <v>0</v>
      </c>
      <c r="AC26" s="34"/>
      <c r="AD26" s="61">
        <v>0</v>
      </c>
      <c r="AE26" s="60">
        <v>0</v>
      </c>
    </row>
    <row r="27" spans="1:33" ht="18" customHeight="1" x14ac:dyDescent="0.2">
      <c r="A27" s="30" t="s">
        <v>310</v>
      </c>
      <c r="B27" s="30" t="s">
        <v>332</v>
      </c>
      <c r="C27" s="4">
        <v>0</v>
      </c>
      <c r="D27" s="4">
        <v>0</v>
      </c>
      <c r="F27" s="51" t="s">
        <v>333</v>
      </c>
      <c r="G27" s="16"/>
      <c r="H27" s="61">
        <v>0</v>
      </c>
      <c r="I27" s="61">
        <v>0</v>
      </c>
      <c r="J27" s="61">
        <v>0</v>
      </c>
      <c r="K27" s="86">
        <v>0</v>
      </c>
      <c r="L27" s="86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16"/>
      <c r="AA27" s="61">
        <v>0</v>
      </c>
      <c r="AB27" s="60">
        <v>0</v>
      </c>
      <c r="AC27" s="34"/>
      <c r="AD27" s="61">
        <v>0</v>
      </c>
      <c r="AE27" s="60">
        <v>0</v>
      </c>
    </row>
    <row r="28" spans="1:33" ht="18" customHeight="1" x14ac:dyDescent="0.2">
      <c r="A28" s="30" t="s">
        <v>310</v>
      </c>
      <c r="B28" s="30" t="s">
        <v>335</v>
      </c>
      <c r="C28" s="4">
        <v>1.0000743273375947</v>
      </c>
      <c r="D28" s="4">
        <v>-0.59227272727272728</v>
      </c>
      <c r="F28" s="51" t="s">
        <v>336</v>
      </c>
      <c r="G28" s="16"/>
      <c r="H28" s="61">
        <v>309.12700000000001</v>
      </c>
      <c r="I28" s="61">
        <v>55.875999999999998</v>
      </c>
      <c r="J28" s="61">
        <v>55.875999999999998</v>
      </c>
      <c r="K28" s="86">
        <v>0</v>
      </c>
      <c r="L28" s="86">
        <v>66</v>
      </c>
      <c r="M28" s="61">
        <v>0</v>
      </c>
      <c r="N28" s="61">
        <v>6.1639999999999997</v>
      </c>
      <c r="O28" s="61">
        <v>5.4160000000000004</v>
      </c>
      <c r="P28" s="61">
        <v>0.55000000000000071</v>
      </c>
      <c r="Q28" s="61">
        <v>1.7589999999999986</v>
      </c>
      <c r="R28" s="61">
        <v>2.5850000000000009</v>
      </c>
      <c r="S28" s="61">
        <v>0.30499999999999972</v>
      </c>
      <c r="T28" s="61">
        <v>1.3919999999999995</v>
      </c>
      <c r="U28" s="61">
        <v>3.218</v>
      </c>
      <c r="V28" s="61">
        <v>1.8610000000000007</v>
      </c>
      <c r="W28" s="61">
        <v>1.5650000000000013</v>
      </c>
      <c r="X28" s="61">
        <v>2.093</v>
      </c>
      <c r="Y28" s="61">
        <v>26.908000000000001</v>
      </c>
      <c r="Z28" s="16"/>
      <c r="AA28" s="61">
        <v>0</v>
      </c>
      <c r="AB28" s="60">
        <v>26.91</v>
      </c>
      <c r="AC28" s="34"/>
      <c r="AD28" s="61">
        <v>66</v>
      </c>
      <c r="AE28" s="60">
        <v>-39.090000000000003</v>
      </c>
    </row>
    <row r="29" spans="1:33" ht="18" customHeight="1" x14ac:dyDescent="0.2">
      <c r="A29" s="30" t="s">
        <v>310</v>
      </c>
      <c r="B29" s="30" t="s">
        <v>337</v>
      </c>
      <c r="C29" s="4">
        <v>0.99983425872213472</v>
      </c>
      <c r="D29" s="4">
        <v>0.99983425872213472</v>
      </c>
      <c r="F29" s="51" t="s">
        <v>338</v>
      </c>
      <c r="G29" s="16"/>
      <c r="H29" s="61">
        <v>0</v>
      </c>
      <c r="I29" s="61">
        <v>0</v>
      </c>
      <c r="J29" s="61">
        <v>0</v>
      </c>
      <c r="K29" s="86">
        <v>0</v>
      </c>
      <c r="L29" s="86">
        <v>0</v>
      </c>
      <c r="M29" s="61">
        <v>0</v>
      </c>
      <c r="N29" s="61">
        <v>3.4980000000000002</v>
      </c>
      <c r="O29" s="61">
        <v>1.4630000000000001</v>
      </c>
      <c r="P29" s="61">
        <v>1.79</v>
      </c>
      <c r="Q29" s="61">
        <v>1.4319999999999995</v>
      </c>
      <c r="R29" s="61">
        <v>1.4700000000000006</v>
      </c>
      <c r="S29" s="61">
        <v>2.6839999999999993</v>
      </c>
      <c r="T29" s="61">
        <v>2.1440000000000001</v>
      </c>
      <c r="U29" s="61">
        <v>2.4350000000000005</v>
      </c>
      <c r="V29" s="61">
        <v>0.45799999999999841</v>
      </c>
      <c r="W29" s="61">
        <v>2.8659999999999997</v>
      </c>
      <c r="X29" s="61">
        <v>3.8940000000000019</v>
      </c>
      <c r="Y29" s="61">
        <v>24.134</v>
      </c>
      <c r="Z29" s="16"/>
      <c r="AA29" s="61">
        <v>0</v>
      </c>
      <c r="AB29" s="60">
        <v>24.13</v>
      </c>
      <c r="AC29" s="34"/>
      <c r="AD29" s="61">
        <v>0</v>
      </c>
      <c r="AE29" s="60">
        <v>24.13</v>
      </c>
    </row>
    <row r="30" spans="1:33" ht="18" customHeight="1" x14ac:dyDescent="0.2">
      <c r="A30" s="30" t="s">
        <v>310</v>
      </c>
      <c r="B30" s="30" t="s">
        <v>458</v>
      </c>
      <c r="C30" s="4">
        <v>0</v>
      </c>
      <c r="D30" s="4">
        <v>0</v>
      </c>
      <c r="F30" s="213" t="s">
        <v>443</v>
      </c>
      <c r="G30" s="16"/>
      <c r="H30" s="61">
        <v>0</v>
      </c>
      <c r="I30" s="61">
        <v>0</v>
      </c>
      <c r="J30" s="61">
        <v>0</v>
      </c>
      <c r="K30" s="86">
        <v>0</v>
      </c>
      <c r="L30" s="86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16"/>
      <c r="AA30" s="61">
        <v>0</v>
      </c>
      <c r="AB30" s="60">
        <v>0</v>
      </c>
      <c r="AC30" s="34"/>
      <c r="AD30" s="61">
        <v>0</v>
      </c>
      <c r="AE30" s="60">
        <v>0</v>
      </c>
    </row>
    <row r="31" spans="1:33" ht="18" customHeight="1" x14ac:dyDescent="0.2">
      <c r="A31" s="30" t="s">
        <v>310</v>
      </c>
      <c r="B31" s="30" t="s">
        <v>341</v>
      </c>
      <c r="C31" s="4">
        <v>1</v>
      </c>
      <c r="D31" s="4">
        <v>1</v>
      </c>
      <c r="F31" s="51" t="s">
        <v>342</v>
      </c>
      <c r="G31" s="16"/>
      <c r="H31" s="61">
        <v>0</v>
      </c>
      <c r="I31" s="61">
        <v>0</v>
      </c>
      <c r="J31" s="61">
        <v>0</v>
      </c>
      <c r="K31" s="86">
        <v>0</v>
      </c>
      <c r="L31" s="86">
        <v>0</v>
      </c>
      <c r="M31" s="61">
        <v>0</v>
      </c>
      <c r="N31" s="61">
        <v>0</v>
      </c>
      <c r="O31" s="61">
        <v>0</v>
      </c>
      <c r="P31" s="61">
        <v>0</v>
      </c>
      <c r="Q31" s="61">
        <v>0.13</v>
      </c>
      <c r="R31" s="61">
        <v>0</v>
      </c>
      <c r="S31" s="61">
        <v>0</v>
      </c>
      <c r="T31" s="61">
        <v>0.65</v>
      </c>
      <c r="U31" s="61">
        <v>0.37999999999999989</v>
      </c>
      <c r="V31" s="61">
        <v>0</v>
      </c>
      <c r="W31" s="61">
        <v>0</v>
      </c>
      <c r="X31" s="61">
        <v>0</v>
      </c>
      <c r="Y31" s="61">
        <v>1.1599999999999999</v>
      </c>
      <c r="Z31" s="16"/>
      <c r="AA31" s="61">
        <v>0</v>
      </c>
      <c r="AB31" s="60">
        <v>1.1599999999999999</v>
      </c>
      <c r="AC31" s="34"/>
      <c r="AD31" s="61">
        <v>0</v>
      </c>
      <c r="AE31" s="60">
        <v>1.1599999999999999</v>
      </c>
    </row>
    <row r="32" spans="1:33" ht="18" customHeight="1" x14ac:dyDescent="0.2">
      <c r="A32" s="32"/>
      <c r="B32" s="32"/>
      <c r="C32" s="4">
        <v>568579452955525.13</v>
      </c>
      <c r="D32" s="4">
        <v>649805089092028.75</v>
      </c>
      <c r="F32" s="51" t="s">
        <v>343</v>
      </c>
      <c r="G32" s="16"/>
      <c r="H32" s="61">
        <v>2.8421709430404007E-14</v>
      </c>
      <c r="I32" s="61">
        <v>18.91700000000003</v>
      </c>
      <c r="J32" s="61">
        <v>18.91700000000003</v>
      </c>
      <c r="K32" s="86">
        <v>2.8421709430404007E-14</v>
      </c>
      <c r="L32" s="86">
        <v>-2.4868995751603507E-14</v>
      </c>
      <c r="M32" s="61">
        <v>7.1054273576010019E-15</v>
      </c>
      <c r="N32" s="61">
        <v>9.7240000000000055</v>
      </c>
      <c r="O32" s="61">
        <v>1.9399999999999862</v>
      </c>
      <c r="P32" s="61">
        <v>0.75400000000000045</v>
      </c>
      <c r="Q32" s="61">
        <v>0.19499999999998219</v>
      </c>
      <c r="R32" s="61">
        <v>-6.6613381477509392E-15</v>
      </c>
      <c r="S32" s="61">
        <v>2.4868995751603507E-14</v>
      </c>
      <c r="T32" s="61">
        <v>-5.9952043329758453E-14</v>
      </c>
      <c r="U32" s="61">
        <v>1.4340000000000783</v>
      </c>
      <c r="V32" s="61">
        <v>0.37500000000005729</v>
      </c>
      <c r="W32" s="61">
        <v>0.94199999999991757</v>
      </c>
      <c r="X32" s="61">
        <v>0.79699999999999349</v>
      </c>
      <c r="Y32" s="61">
        <v>16.160999999999987</v>
      </c>
      <c r="Z32" s="16"/>
      <c r="AA32" s="61">
        <v>2.8421709430404007E-14</v>
      </c>
      <c r="AB32" s="60">
        <v>16.16</v>
      </c>
      <c r="AC32" s="34"/>
      <c r="AD32" s="61">
        <v>-2.4868995751603507E-14</v>
      </c>
      <c r="AE32" s="60">
        <v>16.16</v>
      </c>
    </row>
    <row r="33" spans="1:33" s="7" customFormat="1" ht="18" customHeight="1" x14ac:dyDescent="0.2">
      <c r="A33" s="32"/>
      <c r="B33" s="32"/>
      <c r="C33" s="5">
        <v>2405203675992555.5</v>
      </c>
      <c r="D33" s="5">
        <v>3.5757575757575773E-2</v>
      </c>
      <c r="F33" s="118" t="s">
        <v>373</v>
      </c>
      <c r="G33" s="16"/>
      <c r="H33" s="120">
        <v>310.18200000000002</v>
      </c>
      <c r="I33" s="120">
        <v>74.793000000000035</v>
      </c>
      <c r="J33" s="120">
        <v>74.793000000000035</v>
      </c>
      <c r="K33" s="121">
        <v>2.8421709430404007E-14</v>
      </c>
      <c r="L33" s="121">
        <v>65.999999999999972</v>
      </c>
      <c r="M33" s="120">
        <v>7.1054273576010019E-15</v>
      </c>
      <c r="N33" s="120">
        <v>19.386000000000003</v>
      </c>
      <c r="O33" s="120">
        <v>8.8189999999999866</v>
      </c>
      <c r="P33" s="120">
        <v>3.0940000000000012</v>
      </c>
      <c r="Q33" s="120">
        <v>3.51599999999998</v>
      </c>
      <c r="R33" s="120">
        <v>4.0549999999999944</v>
      </c>
      <c r="S33" s="120">
        <v>2.9890000000000239</v>
      </c>
      <c r="T33" s="120">
        <v>4.1859999999999395</v>
      </c>
      <c r="U33" s="120">
        <v>7.4670000000000787</v>
      </c>
      <c r="V33" s="120">
        <v>2.6940000000000563</v>
      </c>
      <c r="W33" s="120">
        <v>5.3729999999999185</v>
      </c>
      <c r="X33" s="120">
        <v>6.7839999999999954</v>
      </c>
      <c r="Y33" s="120">
        <v>68.362999999999985</v>
      </c>
      <c r="Z33" s="16"/>
      <c r="AA33" s="120">
        <v>2.8421709430404007E-14</v>
      </c>
      <c r="AB33" s="60">
        <v>68.36</v>
      </c>
      <c r="AD33" s="120">
        <v>65.999999999999972</v>
      </c>
      <c r="AE33" s="60">
        <v>2.36</v>
      </c>
    </row>
    <row r="34" spans="1:33" ht="8.25" customHeight="1" x14ac:dyDescent="0.2">
      <c r="A34" s="116"/>
      <c r="B34" s="116"/>
      <c r="C34" s="4"/>
      <c r="D34" s="4"/>
      <c r="F34" s="8"/>
      <c r="G34" s="16"/>
      <c r="K34" s="8"/>
      <c r="L34" s="8"/>
      <c r="Z34" s="16"/>
      <c r="AB34" s="8"/>
      <c r="AE34" s="8"/>
    </row>
    <row r="35" spans="1:33" ht="18" hidden="1" customHeight="1" outlineLevel="1" x14ac:dyDescent="0.2">
      <c r="A35" s="46" t="s">
        <v>303</v>
      </c>
      <c r="B35" s="46" t="s">
        <v>17</v>
      </c>
      <c r="C35" s="47">
        <v>-0.67809533179202119</v>
      </c>
      <c r="D35" s="47">
        <v>-6.4997678654333771E-2</v>
      </c>
      <c r="E35" s="31"/>
      <c r="F35" s="94" t="s">
        <v>346</v>
      </c>
      <c r="G35" s="16"/>
      <c r="H35" s="59">
        <v>89.447000000000003</v>
      </c>
      <c r="I35" s="59">
        <v>68.120999999999995</v>
      </c>
      <c r="J35" s="59">
        <v>68.120999999999995</v>
      </c>
      <c r="K35" s="59">
        <v>81.316000000000003</v>
      </c>
      <c r="L35" s="59">
        <v>28.001000000000001</v>
      </c>
      <c r="M35" s="59">
        <v>1.516</v>
      </c>
      <c r="N35" s="59">
        <v>0</v>
      </c>
      <c r="O35" s="59">
        <v>4.2759999999999998</v>
      </c>
      <c r="P35" s="59">
        <v>1.2650000000000006</v>
      </c>
      <c r="Q35" s="59">
        <v>0.53099999999999969</v>
      </c>
      <c r="R35" s="59">
        <v>2.2830000000000004</v>
      </c>
      <c r="S35" s="59">
        <v>0.61099999999999888</v>
      </c>
      <c r="T35" s="59">
        <v>3.8790000000000013</v>
      </c>
      <c r="U35" s="59">
        <v>0.80699999999999861</v>
      </c>
      <c r="V35" s="59">
        <v>6.9000000000000838E-2</v>
      </c>
      <c r="W35" s="59">
        <v>4.4159999999999986</v>
      </c>
      <c r="X35" s="59">
        <v>6.5240000000000009</v>
      </c>
      <c r="Y35" s="59">
        <v>26.177</v>
      </c>
      <c r="Z35" s="16"/>
      <c r="AA35" s="59">
        <v>81.316000000000003</v>
      </c>
      <c r="AB35" s="63">
        <v>-55.14</v>
      </c>
      <c r="AC35" s="31"/>
      <c r="AD35" s="59">
        <v>28.001000000000001</v>
      </c>
      <c r="AE35" s="63">
        <v>-1.82</v>
      </c>
    </row>
    <row r="36" spans="1:33" ht="18" hidden="1" customHeight="1" outlineLevel="1" x14ac:dyDescent="0.2">
      <c r="A36" s="46" t="s">
        <v>301</v>
      </c>
      <c r="B36" s="46" t="s">
        <v>304</v>
      </c>
      <c r="C36" s="47">
        <v>1</v>
      </c>
      <c r="D36" s="47">
        <v>1</v>
      </c>
      <c r="E36" s="31"/>
      <c r="F36" s="94" t="s">
        <v>347</v>
      </c>
      <c r="G36" s="16"/>
      <c r="H36" s="59">
        <v>22.356000000000002</v>
      </c>
      <c r="I36" s="59">
        <v>7.282</v>
      </c>
      <c r="J36" s="59">
        <v>7.282</v>
      </c>
      <c r="K36" s="59">
        <v>0</v>
      </c>
      <c r="L36" s="59">
        <v>0</v>
      </c>
      <c r="M36" s="59">
        <v>0</v>
      </c>
      <c r="N36" s="59">
        <v>0.16400000000000001</v>
      </c>
      <c r="O36" s="59">
        <v>4.4999999999999984E-2</v>
      </c>
      <c r="P36" s="59">
        <v>0</v>
      </c>
      <c r="Q36" s="59">
        <v>5.0000000000000017E-2</v>
      </c>
      <c r="R36" s="59">
        <v>0</v>
      </c>
      <c r="S36" s="59">
        <v>0</v>
      </c>
      <c r="T36" s="59">
        <v>0</v>
      </c>
      <c r="U36" s="59">
        <v>0.13600000000000001</v>
      </c>
      <c r="V36" s="59">
        <v>0</v>
      </c>
      <c r="W36" s="59">
        <v>0</v>
      </c>
      <c r="X36" s="59">
        <v>0.57499999999999996</v>
      </c>
      <c r="Y36" s="59">
        <v>0.97</v>
      </c>
      <c r="Z36" s="16"/>
      <c r="AA36" s="59">
        <v>0</v>
      </c>
      <c r="AB36" s="63">
        <v>0.97</v>
      </c>
      <c r="AC36" s="31"/>
      <c r="AD36" s="59">
        <v>0</v>
      </c>
      <c r="AE36" s="63">
        <v>0.97</v>
      </c>
    </row>
    <row r="37" spans="1:33" ht="18" customHeight="1" collapsed="1" x14ac:dyDescent="0.2">
      <c r="A37" s="32"/>
      <c r="B37" s="32"/>
      <c r="C37" s="4">
        <v>-0.66616656008657582</v>
      </c>
      <c r="D37" s="4">
        <v>-3.0356058712188848E-2</v>
      </c>
      <c r="F37" s="213" t="s">
        <v>436</v>
      </c>
      <c r="G37" s="16"/>
      <c r="H37" s="61">
        <v>111.803</v>
      </c>
      <c r="I37" s="61">
        <v>75.402999999999992</v>
      </c>
      <c r="J37" s="61">
        <v>75.402999999999992</v>
      </c>
      <c r="K37" s="86">
        <v>81.316000000000003</v>
      </c>
      <c r="L37" s="86">
        <v>28.001000000000001</v>
      </c>
      <c r="M37" s="61">
        <v>1.516</v>
      </c>
      <c r="N37" s="61">
        <v>0.16400000000000001</v>
      </c>
      <c r="O37" s="61">
        <v>4.3209999999999997</v>
      </c>
      <c r="P37" s="61">
        <v>1.2650000000000006</v>
      </c>
      <c r="Q37" s="61">
        <v>0.58099999999999974</v>
      </c>
      <c r="R37" s="61">
        <v>2.2830000000000004</v>
      </c>
      <c r="S37" s="61">
        <v>0.61099999999999888</v>
      </c>
      <c r="T37" s="61">
        <v>3.8790000000000013</v>
      </c>
      <c r="U37" s="61">
        <v>0.94299999999999862</v>
      </c>
      <c r="V37" s="61">
        <v>6.9000000000000838E-2</v>
      </c>
      <c r="W37" s="61">
        <v>4.4159999999999986</v>
      </c>
      <c r="X37" s="61">
        <v>7.0990000000000011</v>
      </c>
      <c r="Y37" s="61">
        <v>27.146999999999998</v>
      </c>
      <c r="Z37" s="16"/>
      <c r="AA37" s="61">
        <v>81.316000000000003</v>
      </c>
      <c r="AB37" s="60">
        <v>-54.17</v>
      </c>
      <c r="AC37" s="34"/>
      <c r="AD37" s="61">
        <v>28.001000000000001</v>
      </c>
      <c r="AE37" s="60">
        <v>-0.85</v>
      </c>
      <c r="AG37" s="48"/>
    </row>
    <row r="38" spans="1:33" ht="18" hidden="1" customHeight="1" outlineLevel="1" x14ac:dyDescent="0.2">
      <c r="A38" s="46" t="s">
        <v>300</v>
      </c>
      <c r="B38" s="46" t="s">
        <v>17</v>
      </c>
      <c r="C38" s="47">
        <v>0</v>
      </c>
      <c r="D38" s="47">
        <v>0</v>
      </c>
      <c r="E38" s="31"/>
      <c r="F38" s="217" t="s">
        <v>437</v>
      </c>
      <c r="G38" s="16"/>
      <c r="H38" s="59">
        <v>7.7220000000000004</v>
      </c>
      <c r="I38" s="59">
        <v>4.2999999999999997E-2</v>
      </c>
      <c r="J38" s="59">
        <v>4.2999999999999997E-2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59">
        <v>0</v>
      </c>
      <c r="Q38" s="59">
        <v>0</v>
      </c>
      <c r="R38" s="59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16"/>
      <c r="AA38" s="59">
        <v>0</v>
      </c>
      <c r="AB38" s="63">
        <v>0</v>
      </c>
      <c r="AC38" s="31"/>
      <c r="AD38" s="59">
        <v>0</v>
      </c>
      <c r="AE38" s="63">
        <v>0</v>
      </c>
    </row>
    <row r="39" spans="1:33" ht="18" hidden="1" customHeight="1" outlineLevel="1" x14ac:dyDescent="0.2">
      <c r="A39" s="46" t="s">
        <v>301</v>
      </c>
      <c r="B39" s="46" t="s">
        <v>302</v>
      </c>
      <c r="C39" s="47">
        <v>0.98039215686274517</v>
      </c>
      <c r="D39" s="47">
        <v>0.98039215686274517</v>
      </c>
      <c r="E39" s="31"/>
      <c r="F39" s="217" t="s">
        <v>438</v>
      </c>
      <c r="G39" s="16"/>
      <c r="H39" s="59">
        <v>0.72599999999999998</v>
      </c>
      <c r="I39" s="59">
        <v>1.206</v>
      </c>
      <c r="J39" s="59">
        <v>1.206</v>
      </c>
      <c r="K39" s="59">
        <v>0</v>
      </c>
      <c r="L39" s="59">
        <v>0</v>
      </c>
      <c r="M39" s="59">
        <v>0</v>
      </c>
      <c r="N39" s="59">
        <v>0</v>
      </c>
      <c r="O39" s="59">
        <v>0</v>
      </c>
      <c r="P39" s="59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2.7E-2</v>
      </c>
      <c r="X39" s="59">
        <v>7.4999999999999997E-2</v>
      </c>
      <c r="Y39" s="59">
        <v>0.10199999999999999</v>
      </c>
      <c r="Z39" s="16"/>
      <c r="AA39" s="59">
        <v>0</v>
      </c>
      <c r="AB39" s="63">
        <v>0.1</v>
      </c>
      <c r="AC39" s="31"/>
      <c r="AD39" s="59">
        <v>0</v>
      </c>
      <c r="AE39" s="63">
        <v>0.1</v>
      </c>
    </row>
    <row r="40" spans="1:33" ht="18" customHeight="1" collapsed="1" x14ac:dyDescent="0.2">
      <c r="A40" s="32"/>
      <c r="B40" s="32"/>
      <c r="C40" s="4">
        <v>0.98039215686274517</v>
      </c>
      <c r="D40" s="4">
        <v>0.98039215686274517</v>
      </c>
      <c r="F40" s="213" t="s">
        <v>439</v>
      </c>
      <c r="G40" s="16"/>
      <c r="H40" s="61">
        <v>8.4480000000000004</v>
      </c>
      <c r="I40" s="61">
        <v>1.2489999999999999</v>
      </c>
      <c r="J40" s="61">
        <v>1.2489999999999999</v>
      </c>
      <c r="K40" s="86">
        <v>0</v>
      </c>
      <c r="L40" s="86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2.7E-2</v>
      </c>
      <c r="X40" s="61">
        <v>7.4999999999999997E-2</v>
      </c>
      <c r="Y40" s="61">
        <v>0.10199999999999999</v>
      </c>
      <c r="Z40" s="16"/>
      <c r="AA40" s="61">
        <v>0</v>
      </c>
      <c r="AB40" s="60">
        <v>0.1</v>
      </c>
      <c r="AC40" s="34"/>
      <c r="AD40" s="61">
        <v>0</v>
      </c>
      <c r="AE40" s="60">
        <v>0.1</v>
      </c>
      <c r="AG40" s="48"/>
    </row>
    <row r="41" spans="1:33" ht="18" hidden="1" customHeight="1" outlineLevel="1" x14ac:dyDescent="0.2">
      <c r="A41" s="46" t="s">
        <v>309</v>
      </c>
      <c r="B41" s="46" t="s">
        <v>17</v>
      </c>
      <c r="C41" s="47">
        <v>1.0004349717268377</v>
      </c>
      <c r="D41" s="47">
        <v>1.0004349717268377</v>
      </c>
      <c r="E41" s="31"/>
      <c r="F41" s="217" t="s">
        <v>440</v>
      </c>
      <c r="G41" s="16"/>
      <c r="H41" s="59">
        <v>10.596</v>
      </c>
      <c r="I41" s="59">
        <v>8.6829999999999998</v>
      </c>
      <c r="J41" s="59">
        <v>8.6829999999999998</v>
      </c>
      <c r="K41" s="59">
        <v>0</v>
      </c>
      <c r="L41" s="59">
        <v>0</v>
      </c>
      <c r="M41" s="59">
        <v>1.5449999999999999</v>
      </c>
      <c r="N41" s="59">
        <v>1.0880000000000001</v>
      </c>
      <c r="O41" s="59">
        <v>0</v>
      </c>
      <c r="P41" s="59">
        <v>0.68900000000000006</v>
      </c>
      <c r="Q41" s="59">
        <v>0</v>
      </c>
      <c r="R41" s="59">
        <v>0.2799999999999998</v>
      </c>
      <c r="S41" s="59">
        <v>0</v>
      </c>
      <c r="T41" s="59">
        <v>0</v>
      </c>
      <c r="U41" s="59">
        <v>0</v>
      </c>
      <c r="V41" s="59">
        <v>3.1240000000000001</v>
      </c>
      <c r="W41" s="59">
        <v>0</v>
      </c>
      <c r="X41" s="59">
        <v>2.4699999999999998</v>
      </c>
      <c r="Y41" s="59">
        <v>9.1959999999999997</v>
      </c>
      <c r="Z41" s="16"/>
      <c r="AA41" s="59">
        <v>0</v>
      </c>
      <c r="AB41" s="63">
        <v>9.1999999999999993</v>
      </c>
      <c r="AC41" s="31"/>
      <c r="AD41" s="59">
        <v>0</v>
      </c>
      <c r="AE41" s="63">
        <v>9.1999999999999993</v>
      </c>
    </row>
    <row r="42" spans="1:33" ht="18" hidden="1" customHeight="1" outlineLevel="1" x14ac:dyDescent="0.2">
      <c r="A42" s="46" t="s">
        <v>301</v>
      </c>
      <c r="B42" s="46" t="s">
        <v>308</v>
      </c>
      <c r="C42" s="47">
        <v>0</v>
      </c>
      <c r="D42" s="47">
        <v>0</v>
      </c>
      <c r="E42" s="31"/>
      <c r="F42" s="217" t="s">
        <v>441</v>
      </c>
      <c r="G42" s="16"/>
      <c r="H42" s="59">
        <v>0.161</v>
      </c>
      <c r="I42" s="59">
        <v>0.32300000000000001</v>
      </c>
      <c r="J42" s="59">
        <v>0.32300000000000001</v>
      </c>
      <c r="K42" s="59">
        <v>0</v>
      </c>
      <c r="L42" s="59">
        <v>0</v>
      </c>
      <c r="M42" s="59">
        <v>0</v>
      </c>
      <c r="N42" s="59">
        <v>0</v>
      </c>
      <c r="O42" s="59">
        <v>0</v>
      </c>
      <c r="P42" s="59">
        <v>0</v>
      </c>
      <c r="Q42" s="59">
        <v>0</v>
      </c>
      <c r="R42" s="59">
        <v>0</v>
      </c>
      <c r="S42" s="59">
        <v>0</v>
      </c>
      <c r="T42" s="59">
        <v>0</v>
      </c>
      <c r="U42" s="59">
        <v>0</v>
      </c>
      <c r="V42" s="59">
        <v>0</v>
      </c>
      <c r="W42" s="59">
        <v>0</v>
      </c>
      <c r="X42" s="59">
        <v>0</v>
      </c>
      <c r="Y42" s="59">
        <v>0</v>
      </c>
      <c r="Z42" s="16"/>
      <c r="AA42" s="59">
        <v>0</v>
      </c>
      <c r="AB42" s="63">
        <v>0</v>
      </c>
      <c r="AC42" s="31"/>
      <c r="AD42" s="59">
        <v>0</v>
      </c>
      <c r="AE42" s="63">
        <v>0</v>
      </c>
    </row>
    <row r="43" spans="1:33" ht="18" customHeight="1" collapsed="1" x14ac:dyDescent="0.2">
      <c r="A43" s="32"/>
      <c r="B43" s="32"/>
      <c r="C43" s="4">
        <v>1.0004349717268377</v>
      </c>
      <c r="D43" s="4">
        <v>1.0004349717268377</v>
      </c>
      <c r="F43" s="213" t="s">
        <v>442</v>
      </c>
      <c r="G43" s="16"/>
      <c r="H43" s="61">
        <v>10.757</v>
      </c>
      <c r="I43" s="61">
        <v>9.0060000000000002</v>
      </c>
      <c r="J43" s="61">
        <v>9.0060000000000002</v>
      </c>
      <c r="K43" s="86">
        <v>0</v>
      </c>
      <c r="L43" s="86">
        <v>0</v>
      </c>
      <c r="M43" s="61">
        <v>1.5449999999999999</v>
      </c>
      <c r="N43" s="61">
        <v>1.0880000000000001</v>
      </c>
      <c r="O43" s="61">
        <v>0</v>
      </c>
      <c r="P43" s="61">
        <v>0.68900000000000006</v>
      </c>
      <c r="Q43" s="61">
        <v>0</v>
      </c>
      <c r="R43" s="61">
        <v>0.2799999999999998</v>
      </c>
      <c r="S43" s="61">
        <v>0</v>
      </c>
      <c r="T43" s="61">
        <v>0</v>
      </c>
      <c r="U43" s="61">
        <v>0</v>
      </c>
      <c r="V43" s="61">
        <v>3.1240000000000001</v>
      </c>
      <c r="W43" s="61">
        <v>0</v>
      </c>
      <c r="X43" s="61">
        <v>2.4699999999999998</v>
      </c>
      <c r="Y43" s="61">
        <v>9.1959999999999997</v>
      </c>
      <c r="Z43" s="16"/>
      <c r="AA43" s="61">
        <v>0</v>
      </c>
      <c r="AB43" s="60">
        <v>9.1999999999999993</v>
      </c>
      <c r="AC43" s="34"/>
      <c r="AD43" s="61">
        <v>0</v>
      </c>
      <c r="AE43" s="60">
        <v>9.1999999999999993</v>
      </c>
      <c r="AG43" s="48"/>
    </row>
    <row r="44" spans="1:33" ht="18" hidden="1" customHeight="1" outlineLevel="1" x14ac:dyDescent="0.2">
      <c r="A44" s="212" t="s">
        <v>435</v>
      </c>
      <c r="B44" s="46" t="s">
        <v>17</v>
      </c>
      <c r="C44" s="47">
        <v>0</v>
      </c>
      <c r="D44" s="47">
        <v>0</v>
      </c>
      <c r="E44" s="31"/>
      <c r="F44" s="202" t="s">
        <v>433</v>
      </c>
      <c r="G44" s="16"/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  <c r="N44" s="59">
        <v>0</v>
      </c>
      <c r="O44" s="59">
        <v>0</v>
      </c>
      <c r="P44" s="59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16"/>
      <c r="AA44" s="59">
        <v>0</v>
      </c>
      <c r="AB44" s="63">
        <v>0</v>
      </c>
      <c r="AC44" s="31"/>
      <c r="AD44" s="59">
        <v>0</v>
      </c>
      <c r="AE44" s="63">
        <v>0</v>
      </c>
    </row>
    <row r="45" spans="1:33" ht="18" hidden="1" customHeight="1" outlineLevel="1" x14ac:dyDescent="0.2">
      <c r="A45" s="46" t="s">
        <v>301</v>
      </c>
      <c r="B45" s="212" t="s">
        <v>451</v>
      </c>
      <c r="C45" s="47">
        <v>0</v>
      </c>
      <c r="D45" s="47">
        <v>0</v>
      </c>
      <c r="E45" s="31"/>
      <c r="F45" s="202" t="s">
        <v>434</v>
      </c>
      <c r="G45" s="16"/>
      <c r="H45" s="59">
        <v>0</v>
      </c>
      <c r="I45" s="59">
        <v>0</v>
      </c>
      <c r="J45" s="59">
        <v>0</v>
      </c>
      <c r="K45" s="59">
        <v>0</v>
      </c>
      <c r="L45" s="59">
        <v>0</v>
      </c>
      <c r="M45" s="59">
        <v>0</v>
      </c>
      <c r="N45" s="59">
        <v>0</v>
      </c>
      <c r="O45" s="59">
        <v>0</v>
      </c>
      <c r="P45" s="59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16"/>
      <c r="AA45" s="59">
        <v>0</v>
      </c>
      <c r="AB45" s="63">
        <v>0</v>
      </c>
      <c r="AC45" s="31"/>
      <c r="AD45" s="59">
        <v>0</v>
      </c>
      <c r="AE45" s="63">
        <v>0</v>
      </c>
    </row>
    <row r="46" spans="1:33" ht="18" customHeight="1" collapsed="1" x14ac:dyDescent="0.2">
      <c r="A46" s="32"/>
      <c r="B46" s="32"/>
      <c r="C46" s="4">
        <v>0</v>
      </c>
      <c r="D46" s="4">
        <v>0</v>
      </c>
      <c r="F46" s="51" t="s">
        <v>432</v>
      </c>
      <c r="G46" s="16"/>
      <c r="H46" s="197">
        <v>0</v>
      </c>
      <c r="I46" s="197">
        <v>0</v>
      </c>
      <c r="J46" s="197">
        <v>0</v>
      </c>
      <c r="K46" s="86">
        <v>0</v>
      </c>
      <c r="L46" s="86">
        <v>0</v>
      </c>
      <c r="M46" s="197">
        <v>0</v>
      </c>
      <c r="N46" s="197">
        <v>0</v>
      </c>
      <c r="O46" s="197">
        <v>0</v>
      </c>
      <c r="P46" s="197">
        <v>0</v>
      </c>
      <c r="Q46" s="197">
        <v>0</v>
      </c>
      <c r="R46" s="197">
        <v>0</v>
      </c>
      <c r="S46" s="197">
        <v>0</v>
      </c>
      <c r="T46" s="197">
        <v>0</v>
      </c>
      <c r="U46" s="197">
        <v>0</v>
      </c>
      <c r="V46" s="197">
        <v>0</v>
      </c>
      <c r="W46" s="197">
        <v>0</v>
      </c>
      <c r="X46" s="197">
        <v>0</v>
      </c>
      <c r="Y46" s="197">
        <v>0</v>
      </c>
      <c r="Z46" s="16"/>
      <c r="AA46" s="197">
        <v>0</v>
      </c>
      <c r="AB46" s="60">
        <v>0</v>
      </c>
      <c r="AC46" s="34"/>
      <c r="AD46" s="197">
        <v>0</v>
      </c>
      <c r="AE46" s="60">
        <v>0</v>
      </c>
      <c r="AG46" s="48"/>
    </row>
    <row r="47" spans="1:33" ht="18" hidden="1" customHeight="1" outlineLevel="1" x14ac:dyDescent="0.2">
      <c r="A47" s="46" t="s">
        <v>306</v>
      </c>
      <c r="B47" s="46" t="s">
        <v>17</v>
      </c>
      <c r="C47" s="47">
        <v>0</v>
      </c>
      <c r="D47" s="47">
        <v>0</v>
      </c>
      <c r="E47" s="31"/>
      <c r="F47" s="94" t="s">
        <v>350</v>
      </c>
      <c r="G47" s="16"/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16"/>
      <c r="AA47" s="59">
        <v>0</v>
      </c>
      <c r="AB47" s="63">
        <v>0</v>
      </c>
      <c r="AC47" s="31"/>
      <c r="AD47" s="59">
        <v>0</v>
      </c>
      <c r="AE47" s="63">
        <v>0</v>
      </c>
    </row>
    <row r="48" spans="1:33" ht="18" hidden="1" customHeight="1" outlineLevel="1" x14ac:dyDescent="0.2">
      <c r="A48" s="46" t="s">
        <v>301</v>
      </c>
      <c r="B48" s="46" t="s">
        <v>307</v>
      </c>
      <c r="C48" s="47">
        <v>0</v>
      </c>
      <c r="D48" s="47">
        <v>0</v>
      </c>
      <c r="E48" s="31"/>
      <c r="F48" s="94" t="s">
        <v>351</v>
      </c>
      <c r="G48" s="16"/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16"/>
      <c r="AA48" s="59">
        <v>0</v>
      </c>
      <c r="AB48" s="63">
        <v>0</v>
      </c>
      <c r="AC48" s="31"/>
      <c r="AD48" s="59">
        <v>0</v>
      </c>
      <c r="AE48" s="63">
        <v>0</v>
      </c>
    </row>
    <row r="49" spans="1:33" ht="18" customHeight="1" collapsed="1" x14ac:dyDescent="0.2">
      <c r="A49" s="32"/>
      <c r="B49" s="32"/>
      <c r="C49" s="4">
        <v>0</v>
      </c>
      <c r="D49" s="4">
        <v>0</v>
      </c>
      <c r="F49" s="51" t="s">
        <v>325</v>
      </c>
      <c r="G49" s="16"/>
      <c r="H49" s="61">
        <v>0</v>
      </c>
      <c r="I49" s="61">
        <v>0</v>
      </c>
      <c r="J49" s="61">
        <v>0</v>
      </c>
      <c r="K49" s="86">
        <v>0</v>
      </c>
      <c r="L49" s="86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  <c r="R49" s="61">
        <v>0</v>
      </c>
      <c r="S49" s="61">
        <v>0</v>
      </c>
      <c r="T49" s="61">
        <v>0</v>
      </c>
      <c r="U49" s="61">
        <v>0</v>
      </c>
      <c r="V49" s="61">
        <v>0</v>
      </c>
      <c r="W49" s="61">
        <v>0</v>
      </c>
      <c r="X49" s="61">
        <v>0</v>
      </c>
      <c r="Y49" s="61">
        <v>0</v>
      </c>
      <c r="Z49" s="16"/>
      <c r="AA49" s="61">
        <v>0</v>
      </c>
      <c r="AB49" s="60">
        <v>0</v>
      </c>
      <c r="AC49" s="34"/>
      <c r="AD49" s="61">
        <v>0</v>
      </c>
      <c r="AE49" s="60">
        <v>0</v>
      </c>
      <c r="AG49" s="48"/>
    </row>
    <row r="50" spans="1:33" ht="18" hidden="1" customHeight="1" outlineLevel="1" x14ac:dyDescent="0.2">
      <c r="A50" s="46" t="s">
        <v>305</v>
      </c>
      <c r="B50" s="46" t="s">
        <v>17</v>
      </c>
      <c r="C50" s="47">
        <v>0</v>
      </c>
      <c r="D50" s="47">
        <v>0</v>
      </c>
      <c r="E50" s="31"/>
      <c r="F50" s="94" t="s">
        <v>353</v>
      </c>
      <c r="G50" s="16"/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0</v>
      </c>
      <c r="Z50" s="16"/>
      <c r="AA50" s="59">
        <v>0</v>
      </c>
      <c r="AB50" s="63">
        <v>0</v>
      </c>
      <c r="AC50" s="31"/>
      <c r="AD50" s="59">
        <v>0</v>
      </c>
      <c r="AE50" s="63">
        <v>0</v>
      </c>
    </row>
    <row r="51" spans="1:33" ht="18" hidden="1" customHeight="1" outlineLevel="1" x14ac:dyDescent="0.2">
      <c r="A51" s="46" t="s">
        <v>301</v>
      </c>
      <c r="B51" s="46" t="s">
        <v>352</v>
      </c>
      <c r="C51" s="47">
        <v>0</v>
      </c>
      <c r="D51" s="47">
        <v>0</v>
      </c>
      <c r="E51" s="31"/>
      <c r="F51" s="94" t="s">
        <v>354</v>
      </c>
      <c r="G51" s="16"/>
      <c r="H51" s="59">
        <v>0</v>
      </c>
      <c r="I51" s="59">
        <v>0</v>
      </c>
      <c r="J51" s="59">
        <v>0</v>
      </c>
      <c r="K51" s="59">
        <v>0</v>
      </c>
      <c r="L51" s="59">
        <v>0</v>
      </c>
      <c r="M51" s="59">
        <v>0</v>
      </c>
      <c r="N51" s="59">
        <v>0</v>
      </c>
      <c r="O51" s="59">
        <v>0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59">
        <v>0</v>
      </c>
      <c r="Y51" s="59">
        <v>0</v>
      </c>
      <c r="Z51" s="16"/>
      <c r="AA51" s="59">
        <v>0</v>
      </c>
      <c r="AB51" s="63">
        <v>0</v>
      </c>
      <c r="AC51" s="31"/>
      <c r="AD51" s="59">
        <v>0</v>
      </c>
      <c r="AE51" s="63">
        <v>0</v>
      </c>
    </row>
    <row r="52" spans="1:33" ht="18" hidden="1" customHeight="1" outlineLevel="1" x14ac:dyDescent="0.2">
      <c r="A52" s="46" t="s">
        <v>310</v>
      </c>
      <c r="B52" s="46" t="s">
        <v>334</v>
      </c>
      <c r="C52" s="47">
        <v>1</v>
      </c>
      <c r="D52" s="47">
        <v>1</v>
      </c>
      <c r="E52" s="31"/>
      <c r="F52" s="94" t="s">
        <v>355</v>
      </c>
      <c r="G52" s="16"/>
      <c r="H52" s="59">
        <v>0</v>
      </c>
      <c r="I52" s="59">
        <v>0</v>
      </c>
      <c r="J52" s="59">
        <v>0</v>
      </c>
      <c r="K52" s="59">
        <v>0</v>
      </c>
      <c r="L52" s="59">
        <v>0</v>
      </c>
      <c r="M52" s="59">
        <v>0</v>
      </c>
      <c r="N52" s="59">
        <v>0</v>
      </c>
      <c r="O52" s="59">
        <v>0</v>
      </c>
      <c r="P52" s="59">
        <v>0</v>
      </c>
      <c r="Q52" s="59">
        <v>0</v>
      </c>
      <c r="R52" s="59">
        <v>0</v>
      </c>
      <c r="S52" s="59">
        <v>0</v>
      </c>
      <c r="T52" s="59">
        <v>0</v>
      </c>
      <c r="U52" s="59">
        <v>0.13</v>
      </c>
      <c r="V52" s="59">
        <v>0</v>
      </c>
      <c r="W52" s="59">
        <v>0</v>
      </c>
      <c r="X52" s="59">
        <v>0</v>
      </c>
      <c r="Y52" s="59">
        <v>0.13</v>
      </c>
      <c r="Z52" s="16"/>
      <c r="AA52" s="59">
        <v>0</v>
      </c>
      <c r="AB52" s="60">
        <v>0.13</v>
      </c>
      <c r="AC52" s="31"/>
      <c r="AD52" s="59">
        <v>0</v>
      </c>
      <c r="AE52" s="60">
        <v>0.13</v>
      </c>
    </row>
    <row r="53" spans="1:33" ht="18" customHeight="1" collapsed="1" x14ac:dyDescent="0.2">
      <c r="A53" s="32"/>
      <c r="B53" s="32"/>
      <c r="C53" s="4">
        <v>1</v>
      </c>
      <c r="D53" s="4">
        <v>1</v>
      </c>
      <c r="F53" s="51" t="s">
        <v>363</v>
      </c>
      <c r="G53" s="16"/>
      <c r="H53" s="61">
        <v>0</v>
      </c>
      <c r="I53" s="61">
        <v>0</v>
      </c>
      <c r="J53" s="61">
        <v>0</v>
      </c>
      <c r="K53" s="86">
        <v>0</v>
      </c>
      <c r="L53" s="86">
        <v>0</v>
      </c>
      <c r="M53" s="61">
        <v>0</v>
      </c>
      <c r="N53" s="61">
        <v>0</v>
      </c>
      <c r="O53" s="61">
        <v>0</v>
      </c>
      <c r="P53" s="61">
        <v>0</v>
      </c>
      <c r="Q53" s="61">
        <v>0</v>
      </c>
      <c r="R53" s="61">
        <v>0</v>
      </c>
      <c r="S53" s="61">
        <v>0</v>
      </c>
      <c r="T53" s="61">
        <v>0</v>
      </c>
      <c r="U53" s="61">
        <v>0.13</v>
      </c>
      <c r="V53" s="61">
        <v>0</v>
      </c>
      <c r="W53" s="61">
        <v>0</v>
      </c>
      <c r="X53" s="61">
        <v>0</v>
      </c>
      <c r="Y53" s="61">
        <v>0.13</v>
      </c>
      <c r="Z53" s="16"/>
      <c r="AA53" s="61">
        <v>0</v>
      </c>
      <c r="AB53" s="60">
        <v>0.13</v>
      </c>
      <c r="AC53" s="34"/>
      <c r="AD53" s="61">
        <v>0</v>
      </c>
      <c r="AE53" s="60">
        <v>0.13</v>
      </c>
      <c r="AG53" s="48"/>
    </row>
    <row r="54" spans="1:33" ht="18" customHeight="1" x14ac:dyDescent="0.2">
      <c r="A54" s="30" t="s">
        <v>311</v>
      </c>
      <c r="B54" s="30" t="s">
        <v>17</v>
      </c>
      <c r="C54" s="4">
        <v>0</v>
      </c>
      <c r="D54" s="4">
        <v>0</v>
      </c>
      <c r="F54" s="51" t="s">
        <v>374</v>
      </c>
      <c r="G54" s="16"/>
      <c r="H54" s="61">
        <v>0</v>
      </c>
      <c r="I54" s="61">
        <v>0</v>
      </c>
      <c r="J54" s="61">
        <v>0</v>
      </c>
      <c r="K54" s="86">
        <v>0</v>
      </c>
      <c r="L54" s="86">
        <v>0</v>
      </c>
      <c r="M54" s="61">
        <v>0</v>
      </c>
      <c r="N54" s="61">
        <v>0</v>
      </c>
      <c r="O54" s="61">
        <v>0</v>
      </c>
      <c r="P54" s="61">
        <v>0</v>
      </c>
      <c r="Q54" s="61">
        <v>0</v>
      </c>
      <c r="R54" s="61">
        <v>0</v>
      </c>
      <c r="S54" s="61">
        <v>0</v>
      </c>
      <c r="T54" s="61">
        <v>0</v>
      </c>
      <c r="U54" s="61">
        <v>0</v>
      </c>
      <c r="V54" s="61">
        <v>0</v>
      </c>
      <c r="W54" s="61">
        <v>0</v>
      </c>
      <c r="X54" s="61">
        <v>0</v>
      </c>
      <c r="Y54" s="61">
        <v>0</v>
      </c>
      <c r="Z54" s="16"/>
      <c r="AA54" s="61">
        <v>0</v>
      </c>
      <c r="AB54" s="60">
        <v>0</v>
      </c>
      <c r="AD54" s="61">
        <v>0</v>
      </c>
      <c r="AE54" s="60">
        <v>0</v>
      </c>
    </row>
    <row r="55" spans="1:33" ht="18" customHeight="1" x14ac:dyDescent="0.2">
      <c r="A55" s="32"/>
      <c r="B55" s="32"/>
      <c r="C55" s="5">
        <v>-0.55019922278518374</v>
      </c>
      <c r="D55" s="5">
        <v>0.3060604978393629</v>
      </c>
      <c r="F55" s="118" t="s">
        <v>375</v>
      </c>
      <c r="G55" s="16"/>
      <c r="H55" s="120">
        <v>131.00800000000001</v>
      </c>
      <c r="I55" s="120">
        <v>85.657999999999987</v>
      </c>
      <c r="J55" s="120">
        <v>85.657999999999987</v>
      </c>
      <c r="K55" s="121">
        <v>81.316000000000003</v>
      </c>
      <c r="L55" s="121">
        <v>28.001000000000001</v>
      </c>
      <c r="M55" s="120">
        <v>3.0609999999999999</v>
      </c>
      <c r="N55" s="120">
        <v>1.252</v>
      </c>
      <c r="O55" s="120">
        <v>4.3209999999999997</v>
      </c>
      <c r="P55" s="120">
        <v>1.9540000000000006</v>
      </c>
      <c r="Q55" s="120">
        <v>0.58099999999999974</v>
      </c>
      <c r="R55" s="120">
        <v>2.5630000000000002</v>
      </c>
      <c r="S55" s="120">
        <v>0.61099999999999888</v>
      </c>
      <c r="T55" s="120">
        <v>3.8790000000000013</v>
      </c>
      <c r="U55" s="120">
        <v>1.0729999999999986</v>
      </c>
      <c r="V55" s="120">
        <v>3.1930000000000009</v>
      </c>
      <c r="W55" s="120">
        <v>4.4429999999999987</v>
      </c>
      <c r="X55" s="120">
        <v>9.6440000000000019</v>
      </c>
      <c r="Y55" s="120">
        <v>36.575000000000003</v>
      </c>
      <c r="Z55" s="16"/>
      <c r="AA55" s="120">
        <v>81.316000000000003</v>
      </c>
      <c r="AB55" s="60">
        <v>-44.74</v>
      </c>
      <c r="AC55" s="7"/>
      <c r="AD55" s="120">
        <v>28.001000000000001</v>
      </c>
      <c r="AE55" s="60">
        <v>8.57</v>
      </c>
    </row>
    <row r="56" spans="1:33" ht="8.25" customHeight="1" x14ac:dyDescent="0.2">
      <c r="A56" s="116"/>
      <c r="F56" s="8"/>
      <c r="G56" s="16"/>
      <c r="K56" s="8"/>
      <c r="L56" s="8"/>
      <c r="Z56" s="16"/>
      <c r="AB56" s="8"/>
      <c r="AE56" s="8"/>
    </row>
    <row r="57" spans="1:33" ht="18" customHeight="1" x14ac:dyDescent="0.2">
      <c r="A57" s="30" t="s">
        <v>313</v>
      </c>
      <c r="B57" s="30" t="s">
        <v>17</v>
      </c>
      <c r="C57" s="4">
        <v>0</v>
      </c>
      <c r="D57" s="4">
        <v>0</v>
      </c>
      <c r="F57" s="51" t="s">
        <v>312</v>
      </c>
      <c r="G57" s="16"/>
      <c r="H57" s="61">
        <v>0</v>
      </c>
      <c r="I57" s="61">
        <v>0</v>
      </c>
      <c r="J57" s="61">
        <v>0</v>
      </c>
      <c r="K57" s="86">
        <v>0</v>
      </c>
      <c r="L57" s="86">
        <v>0</v>
      </c>
      <c r="M57" s="61">
        <v>0</v>
      </c>
      <c r="N57" s="61">
        <v>0</v>
      </c>
      <c r="O57" s="61">
        <v>0</v>
      </c>
      <c r="P57" s="61">
        <v>0</v>
      </c>
      <c r="Q57" s="61">
        <v>0</v>
      </c>
      <c r="R57" s="61">
        <v>0</v>
      </c>
      <c r="S57" s="61">
        <v>0</v>
      </c>
      <c r="T57" s="61">
        <v>0</v>
      </c>
      <c r="U57" s="61">
        <v>0</v>
      </c>
      <c r="V57" s="61">
        <v>0</v>
      </c>
      <c r="W57" s="61">
        <v>0</v>
      </c>
      <c r="X57" s="61">
        <v>0</v>
      </c>
      <c r="Y57" s="61">
        <v>0</v>
      </c>
      <c r="Z57" s="16"/>
      <c r="AA57" s="61">
        <v>0</v>
      </c>
      <c r="AB57" s="60">
        <v>0</v>
      </c>
      <c r="AD57" s="61">
        <v>0</v>
      </c>
      <c r="AE57" s="60">
        <v>0</v>
      </c>
    </row>
    <row r="58" spans="1:33" ht="8.25" customHeight="1" x14ac:dyDescent="0.2">
      <c r="A58" s="116"/>
      <c r="F58" s="8"/>
      <c r="G58" s="16"/>
      <c r="K58" s="8"/>
      <c r="L58" s="8"/>
      <c r="Z58" s="16"/>
      <c r="AB58" s="8"/>
      <c r="AE58" s="8"/>
    </row>
    <row r="59" spans="1:33" s="7" customFormat="1" ht="18" customHeight="1" x14ac:dyDescent="0.2">
      <c r="A59" s="30" t="s">
        <v>299</v>
      </c>
      <c r="B59" s="30" t="s">
        <v>17</v>
      </c>
      <c r="C59" s="4">
        <v>0.15663703589655342</v>
      </c>
      <c r="D59" s="4">
        <v>0.17975729820173419</v>
      </c>
      <c r="E59" s="8"/>
      <c r="F59" s="45" t="s">
        <v>376</v>
      </c>
      <c r="G59" s="16"/>
      <c r="H59" s="62">
        <v>1179.5630000000001</v>
      </c>
      <c r="I59" s="62">
        <v>1015.181</v>
      </c>
      <c r="J59" s="62">
        <v>1015.181</v>
      </c>
      <c r="K59" s="108">
        <v>883.31600000000003</v>
      </c>
      <c r="L59" s="108">
        <v>866.00099999999998</v>
      </c>
      <c r="M59" s="62">
        <v>76.108000000000004</v>
      </c>
      <c r="N59" s="62">
        <v>107.023</v>
      </c>
      <c r="O59" s="62">
        <v>106.93100000000001</v>
      </c>
      <c r="P59" s="62">
        <v>103.88799999999998</v>
      </c>
      <c r="Q59" s="62">
        <v>54.307999999999993</v>
      </c>
      <c r="R59" s="62">
        <v>91.66500000000002</v>
      </c>
      <c r="S59" s="62">
        <v>45.433999999999969</v>
      </c>
      <c r="T59" s="62">
        <v>79.26400000000001</v>
      </c>
      <c r="U59" s="62">
        <v>94.392000000000053</v>
      </c>
      <c r="V59" s="62">
        <v>42.269000000000005</v>
      </c>
      <c r="W59" s="62">
        <v>112.947</v>
      </c>
      <c r="X59" s="62">
        <v>107.44299999999998</v>
      </c>
      <c r="Y59" s="62">
        <v>1021.672</v>
      </c>
      <c r="Z59" s="16"/>
      <c r="AA59" s="62">
        <v>883.31600000000014</v>
      </c>
      <c r="AB59" s="60">
        <v>138.36000000000001</v>
      </c>
      <c r="AD59" s="62">
        <v>866.00099999999986</v>
      </c>
      <c r="AE59" s="60">
        <v>155.66999999999999</v>
      </c>
    </row>
    <row r="60" spans="1:33" ht="8.25" customHeight="1" x14ac:dyDescent="0.2">
      <c r="A60" s="116"/>
      <c r="F60" s="8"/>
      <c r="G60" s="16"/>
      <c r="K60" s="8"/>
      <c r="L60" s="8"/>
      <c r="Z60" s="16"/>
      <c r="AB60" s="8"/>
      <c r="AE60" s="8"/>
    </row>
    <row r="61" spans="1:33" ht="18" customHeight="1" x14ac:dyDescent="0.2">
      <c r="A61" s="35"/>
      <c r="B61" s="32"/>
      <c r="C61" s="4">
        <v>3.2875760165107917E-2</v>
      </c>
      <c r="D61" s="4">
        <v>3.55629008144294E-2</v>
      </c>
      <c r="F61" s="95" t="s">
        <v>234</v>
      </c>
      <c r="G61" s="16"/>
      <c r="H61" s="64">
        <v>6768.3640000000005</v>
      </c>
      <c r="I61" s="64">
        <v>6828.2180000000008</v>
      </c>
      <c r="J61" s="64">
        <v>6828.2180000000008</v>
      </c>
      <c r="K61" s="89">
        <v>6405.0230000000001</v>
      </c>
      <c r="L61" s="89">
        <v>6388.3990000000003</v>
      </c>
      <c r="M61" s="64">
        <v>522.01400000000001</v>
      </c>
      <c r="N61" s="64">
        <v>574.36399999999992</v>
      </c>
      <c r="O61" s="64">
        <v>527.50300000000004</v>
      </c>
      <c r="P61" s="64">
        <v>633.09999999999991</v>
      </c>
      <c r="Q61" s="64">
        <v>538.15000000000009</v>
      </c>
      <c r="R61" s="64">
        <v>559.72899999999981</v>
      </c>
      <c r="S61" s="64">
        <v>512.18300000000022</v>
      </c>
      <c r="T61" s="64">
        <v>529.10599999999965</v>
      </c>
      <c r="U61" s="64">
        <v>545.90199999999982</v>
      </c>
      <c r="V61" s="64">
        <v>505.28600000000074</v>
      </c>
      <c r="W61" s="64">
        <v>582.75199999999938</v>
      </c>
      <c r="X61" s="64">
        <v>585.50300000000038</v>
      </c>
      <c r="Y61" s="64">
        <v>6615.5920000000006</v>
      </c>
      <c r="Z61" s="16"/>
      <c r="AA61" s="64">
        <v>6405.0230000000001</v>
      </c>
      <c r="AB61" s="60">
        <v>210.57</v>
      </c>
      <c r="AD61" s="64">
        <v>6388.3990000000003</v>
      </c>
      <c r="AE61" s="60">
        <v>227.19</v>
      </c>
    </row>
    <row r="62" spans="1:33" ht="6.95" customHeight="1" x14ac:dyDescent="0.2">
      <c r="C62" s="4"/>
      <c r="D62" s="4"/>
      <c r="F62" s="96"/>
      <c r="G62" s="16"/>
      <c r="H62" s="16"/>
      <c r="I62" s="16"/>
      <c r="J62" s="16"/>
      <c r="K62" s="85"/>
      <c r="L62" s="85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20"/>
      <c r="AD62" s="16"/>
      <c r="AE62" s="20"/>
    </row>
    <row r="63" spans="1:33" s="36" customFormat="1" ht="18" customHeight="1" x14ac:dyDescent="0.2">
      <c r="A63" s="30" t="s">
        <v>21</v>
      </c>
      <c r="B63" s="30" t="s">
        <v>17</v>
      </c>
      <c r="C63" s="4">
        <v>-1.0004584001833601</v>
      </c>
      <c r="D63" s="4">
        <v>0.127</v>
      </c>
      <c r="E63" s="8"/>
      <c r="F63" s="104" t="s">
        <v>24</v>
      </c>
      <c r="G63" s="16"/>
      <c r="H63" s="65">
        <v>-14.523</v>
      </c>
      <c r="I63" s="65">
        <v>-31.850999999999999</v>
      </c>
      <c r="J63" s="65">
        <v>-31.850999999999999</v>
      </c>
      <c r="K63" s="65">
        <v>0</v>
      </c>
      <c r="L63" s="65">
        <v>-10</v>
      </c>
      <c r="M63" s="65">
        <v>-8.7949999999999999</v>
      </c>
      <c r="N63" s="65">
        <v>0.51399999999999935</v>
      </c>
      <c r="O63" s="65">
        <v>-7.9459999999999997</v>
      </c>
      <c r="P63" s="65">
        <v>6.6440000000000001</v>
      </c>
      <c r="Q63" s="65">
        <v>-6.7999999999999616E-2</v>
      </c>
      <c r="R63" s="65">
        <v>13.593</v>
      </c>
      <c r="S63" s="65">
        <v>-13.752000000000001</v>
      </c>
      <c r="T63" s="65">
        <v>-3.7910000000000004</v>
      </c>
      <c r="U63" s="65">
        <v>0.14900000000000091</v>
      </c>
      <c r="V63" s="65">
        <v>0.53100000000000058</v>
      </c>
      <c r="W63" s="65">
        <v>2.1029999999999998</v>
      </c>
      <c r="X63" s="65">
        <v>2.0919999999999987</v>
      </c>
      <c r="Y63" s="65">
        <v>-8.7260000000000009</v>
      </c>
      <c r="AA63" s="65">
        <v>0</v>
      </c>
      <c r="AB63" s="60">
        <v>-8.73</v>
      </c>
      <c r="AD63" s="65">
        <v>-10</v>
      </c>
      <c r="AE63" s="60">
        <v>1.27</v>
      </c>
    </row>
    <row r="64" spans="1:33" s="36" customFormat="1" ht="18" hidden="1" customHeight="1" outlineLevel="1" x14ac:dyDescent="0.2">
      <c r="A64" s="30" t="s">
        <v>119</v>
      </c>
      <c r="B64" s="30" t="s">
        <v>17</v>
      </c>
      <c r="C64" s="4">
        <v>-1.8359999999999999</v>
      </c>
      <c r="D64" s="4">
        <v>5.4666666666666662E-2</v>
      </c>
      <c r="E64" s="8"/>
      <c r="F64" s="38" t="s">
        <v>121</v>
      </c>
      <c r="G64" s="16"/>
      <c r="H64" s="66">
        <v>0.151</v>
      </c>
      <c r="I64" s="66">
        <v>-14.789</v>
      </c>
      <c r="J64" s="66">
        <v>-14.789</v>
      </c>
      <c r="K64" s="66">
        <v>-5</v>
      </c>
      <c r="L64" s="66">
        <v>-15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-14.182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-14.182</v>
      </c>
      <c r="Z64" s="34"/>
      <c r="AA64" s="66">
        <v>-5</v>
      </c>
      <c r="AB64" s="60">
        <v>-9.18</v>
      </c>
      <c r="AC64" s="34"/>
      <c r="AD64" s="66">
        <v>-15</v>
      </c>
      <c r="AE64" s="60">
        <v>0.82</v>
      </c>
    </row>
    <row r="65" spans="1:31" s="36" customFormat="1" ht="18" hidden="1" customHeight="1" outlineLevel="1" x14ac:dyDescent="0.2">
      <c r="A65" s="30" t="s">
        <v>120</v>
      </c>
      <c r="B65" s="30" t="s">
        <v>17</v>
      </c>
      <c r="C65" s="4">
        <v>2.0524</v>
      </c>
      <c r="D65" s="4">
        <v>-0.13024793388429751</v>
      </c>
      <c r="E65" s="8"/>
      <c r="F65" s="38" t="s">
        <v>122</v>
      </c>
      <c r="G65" s="16"/>
      <c r="H65" s="66">
        <v>-120.486</v>
      </c>
      <c r="I65" s="66">
        <v>-151.86500000000001</v>
      </c>
      <c r="J65" s="66">
        <v>-151.86500000000001</v>
      </c>
      <c r="K65" s="66">
        <v>-25</v>
      </c>
      <c r="L65" s="66">
        <v>30.25</v>
      </c>
      <c r="M65" s="66">
        <v>36.944000000000003</v>
      </c>
      <c r="N65" s="66">
        <v>-36.388000000000005</v>
      </c>
      <c r="O65" s="66">
        <v>42.157000000000004</v>
      </c>
      <c r="P65" s="66">
        <v>-24.823</v>
      </c>
      <c r="Q65" s="66">
        <v>-1.9770000000000003</v>
      </c>
      <c r="R65" s="66">
        <v>7.3290000000000006</v>
      </c>
      <c r="S65" s="66">
        <v>-3.0390000000000015</v>
      </c>
      <c r="T65" s="66">
        <v>2.2999999999999687E-2</v>
      </c>
      <c r="U65" s="66">
        <v>11.122</v>
      </c>
      <c r="V65" s="66">
        <v>-2.0739999999999981</v>
      </c>
      <c r="W65" s="66">
        <v>-2.9619999999999997</v>
      </c>
      <c r="X65" s="66">
        <v>9.9999999999766942E-4</v>
      </c>
      <c r="Y65" s="66">
        <v>26.312999999999999</v>
      </c>
      <c r="Z65" s="34"/>
      <c r="AA65" s="66">
        <v>-25</v>
      </c>
      <c r="AB65" s="60">
        <v>51.31</v>
      </c>
      <c r="AC65" s="34"/>
      <c r="AD65" s="66">
        <v>30.25</v>
      </c>
      <c r="AE65" s="60">
        <v>-3.94</v>
      </c>
    </row>
    <row r="66" spans="1:31" s="36" customFormat="1" ht="18" customHeight="1" collapsed="1" x14ac:dyDescent="0.2">
      <c r="A66" s="35"/>
      <c r="B66" s="35"/>
      <c r="C66" s="4">
        <v>1.4043333333333334</v>
      </c>
      <c r="D66" s="4">
        <v>-0.20459016393442625</v>
      </c>
      <c r="E66" s="8"/>
      <c r="F66" s="104" t="s">
        <v>0</v>
      </c>
      <c r="G66" s="16"/>
      <c r="H66" s="65">
        <v>-120.33500000000001</v>
      </c>
      <c r="I66" s="65">
        <v>-166.654</v>
      </c>
      <c r="J66" s="65">
        <v>-166.654</v>
      </c>
      <c r="K66" s="65">
        <v>-30</v>
      </c>
      <c r="L66" s="65">
        <v>15.25</v>
      </c>
      <c r="M66" s="65">
        <v>36.944000000000003</v>
      </c>
      <c r="N66" s="65">
        <v>-36.388000000000005</v>
      </c>
      <c r="O66" s="65">
        <v>42.157000000000004</v>
      </c>
      <c r="P66" s="65">
        <v>-24.823</v>
      </c>
      <c r="Q66" s="65">
        <v>-1.9770000000000003</v>
      </c>
      <c r="R66" s="65">
        <v>-6.8529999999999998</v>
      </c>
      <c r="S66" s="65">
        <v>-3.0390000000000015</v>
      </c>
      <c r="T66" s="65">
        <v>2.2999999999999687E-2</v>
      </c>
      <c r="U66" s="65">
        <v>11.122</v>
      </c>
      <c r="V66" s="65">
        <v>-2.0739999999999981</v>
      </c>
      <c r="W66" s="65">
        <v>-2.9619999999999997</v>
      </c>
      <c r="X66" s="65">
        <v>9.9999999999766942E-4</v>
      </c>
      <c r="Y66" s="65">
        <v>12.130999999999998</v>
      </c>
      <c r="AA66" s="65">
        <v>-30</v>
      </c>
      <c r="AB66" s="60">
        <v>42.13</v>
      </c>
      <c r="AD66" s="65">
        <v>15.25</v>
      </c>
      <c r="AE66" s="60">
        <v>-3.12</v>
      </c>
    </row>
    <row r="67" spans="1:31" s="36" customFormat="1" ht="18" hidden="1" customHeight="1" outlineLevel="1" x14ac:dyDescent="0.2">
      <c r="A67" s="30" t="s">
        <v>131</v>
      </c>
      <c r="B67" s="30" t="s">
        <v>17</v>
      </c>
      <c r="C67" s="4">
        <v>0</v>
      </c>
      <c r="D67" s="4">
        <v>0</v>
      </c>
      <c r="E67" s="8"/>
      <c r="F67" s="38" t="s">
        <v>132</v>
      </c>
      <c r="G67" s="16"/>
      <c r="H67" s="66">
        <v>0</v>
      </c>
      <c r="I67" s="66">
        <v>0</v>
      </c>
      <c r="J67" s="66">
        <v>0</v>
      </c>
      <c r="K67" s="86">
        <v>0</v>
      </c>
      <c r="L67" s="8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34"/>
      <c r="AA67" s="66">
        <v>0</v>
      </c>
      <c r="AB67" s="60">
        <v>0</v>
      </c>
      <c r="AC67" s="34"/>
      <c r="AD67" s="66">
        <v>0</v>
      </c>
      <c r="AE67" s="60">
        <v>0</v>
      </c>
    </row>
    <row r="68" spans="1:31" s="36" customFormat="1" ht="18" hidden="1" customHeight="1" outlineLevel="1" x14ac:dyDescent="0.2">
      <c r="A68" s="30" t="s">
        <v>134</v>
      </c>
      <c r="B68" s="30" t="s">
        <v>17</v>
      </c>
      <c r="C68" s="4">
        <v>0</v>
      </c>
      <c r="D68" s="4">
        <v>0</v>
      </c>
      <c r="E68" s="8"/>
      <c r="F68" s="38" t="s">
        <v>133</v>
      </c>
      <c r="G68" s="16"/>
      <c r="H68" s="66">
        <v>0</v>
      </c>
      <c r="I68" s="66">
        <v>0</v>
      </c>
      <c r="J68" s="66">
        <v>0</v>
      </c>
      <c r="K68" s="86">
        <v>0</v>
      </c>
      <c r="L68" s="8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34"/>
      <c r="AA68" s="66">
        <v>0</v>
      </c>
      <c r="AB68" s="60">
        <v>0</v>
      </c>
      <c r="AC68" s="34"/>
      <c r="AD68" s="66">
        <v>0</v>
      </c>
      <c r="AE68" s="60">
        <v>0</v>
      </c>
    </row>
    <row r="69" spans="1:31" s="36" customFormat="1" ht="18" hidden="1" customHeight="1" outlineLevel="1" x14ac:dyDescent="0.2">
      <c r="A69" s="30" t="s">
        <v>135</v>
      </c>
      <c r="B69" s="30" t="s">
        <v>17</v>
      </c>
      <c r="C69" s="4">
        <v>0</v>
      </c>
      <c r="D69" s="4">
        <v>0</v>
      </c>
      <c r="E69" s="8"/>
      <c r="F69" s="38" t="s">
        <v>136</v>
      </c>
      <c r="G69" s="16"/>
      <c r="H69" s="66">
        <v>0</v>
      </c>
      <c r="I69" s="66">
        <v>13.5</v>
      </c>
      <c r="J69" s="66">
        <v>13.5</v>
      </c>
      <c r="K69" s="86">
        <v>0</v>
      </c>
      <c r="L69" s="8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34"/>
      <c r="AA69" s="66">
        <v>0</v>
      </c>
      <c r="AB69" s="60">
        <v>0</v>
      </c>
      <c r="AC69" s="34"/>
      <c r="AD69" s="66">
        <v>0</v>
      </c>
      <c r="AE69" s="60">
        <v>0</v>
      </c>
    </row>
    <row r="70" spans="1:31" s="36" customFormat="1" ht="18" hidden="1" customHeight="1" outlineLevel="1" x14ac:dyDescent="0.2">
      <c r="A70" s="30" t="s">
        <v>137</v>
      </c>
      <c r="B70" s="30" t="s">
        <v>17</v>
      </c>
      <c r="C70" s="4">
        <v>0</v>
      </c>
      <c r="D70" s="4">
        <v>0</v>
      </c>
      <c r="E70" s="8"/>
      <c r="F70" s="38" t="s">
        <v>138</v>
      </c>
      <c r="G70" s="16"/>
      <c r="H70" s="66">
        <v>0</v>
      </c>
      <c r="I70" s="66">
        <v>3.5000000000000003E-2</v>
      </c>
      <c r="J70" s="66">
        <v>3.5000000000000003E-2</v>
      </c>
      <c r="K70" s="86">
        <v>0</v>
      </c>
      <c r="L70" s="8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34"/>
      <c r="AA70" s="66">
        <v>0</v>
      </c>
      <c r="AB70" s="60">
        <v>0</v>
      </c>
      <c r="AC70" s="34"/>
      <c r="AD70" s="66">
        <v>0</v>
      </c>
      <c r="AE70" s="60">
        <v>0</v>
      </c>
    </row>
    <row r="71" spans="1:31" s="37" customFormat="1" ht="18" customHeight="1" collapsed="1" x14ac:dyDescent="0.2">
      <c r="A71" s="35"/>
      <c r="B71" s="35"/>
      <c r="C71" s="4">
        <v>0</v>
      </c>
      <c r="D71" s="4">
        <v>0</v>
      </c>
      <c r="E71" s="8"/>
      <c r="F71" s="105" t="s">
        <v>274</v>
      </c>
      <c r="G71" s="16"/>
      <c r="H71" s="67">
        <v>0</v>
      </c>
      <c r="I71" s="67">
        <v>13.535</v>
      </c>
      <c r="J71" s="67">
        <v>13.535</v>
      </c>
      <c r="K71" s="67">
        <v>0</v>
      </c>
      <c r="L71" s="67">
        <v>0</v>
      </c>
      <c r="M71" s="67">
        <v>0</v>
      </c>
      <c r="N71" s="67">
        <v>0</v>
      </c>
      <c r="O71" s="67">
        <v>0</v>
      </c>
      <c r="P71" s="67">
        <v>0</v>
      </c>
      <c r="Q71" s="67">
        <v>0</v>
      </c>
      <c r="R71" s="67">
        <v>0</v>
      </c>
      <c r="S71" s="67">
        <v>0</v>
      </c>
      <c r="T71" s="67">
        <v>0</v>
      </c>
      <c r="U71" s="67">
        <v>0</v>
      </c>
      <c r="V71" s="67">
        <v>0</v>
      </c>
      <c r="W71" s="67">
        <v>0</v>
      </c>
      <c r="X71" s="67">
        <v>0</v>
      </c>
      <c r="Y71" s="67">
        <v>0</v>
      </c>
      <c r="AA71" s="67">
        <v>0</v>
      </c>
      <c r="AB71" s="60">
        <v>0</v>
      </c>
      <c r="AD71" s="67">
        <v>0</v>
      </c>
      <c r="AE71" s="60">
        <v>0</v>
      </c>
    </row>
    <row r="72" spans="1:31" ht="6.95" customHeight="1" x14ac:dyDescent="0.2">
      <c r="C72" s="4"/>
      <c r="D72" s="4"/>
      <c r="F72" s="96"/>
      <c r="G72" s="16"/>
      <c r="H72" s="16"/>
      <c r="I72" s="16"/>
      <c r="J72" s="16"/>
      <c r="K72" s="85"/>
      <c r="L72" s="8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AA72" s="16"/>
      <c r="AB72" s="20"/>
      <c r="AD72" s="16"/>
      <c r="AE72" s="20"/>
    </row>
    <row r="73" spans="1:31" s="7" customFormat="1" ht="18" customHeight="1" x14ac:dyDescent="0.2">
      <c r="A73" s="276" t="s">
        <v>299</v>
      </c>
      <c r="B73" s="276" t="s">
        <v>17</v>
      </c>
      <c r="C73" s="252">
        <v>3.8269665850617321E-2</v>
      </c>
      <c r="D73" s="252">
        <v>3.5245913562036324E-2</v>
      </c>
      <c r="E73" s="253"/>
      <c r="F73" s="280" t="s">
        <v>448</v>
      </c>
      <c r="G73" s="16"/>
      <c r="H73" s="62">
        <v>6633.5060000000003</v>
      </c>
      <c r="I73" s="62">
        <v>6643.2480000000014</v>
      </c>
      <c r="J73" s="62">
        <v>6643.2480000000014</v>
      </c>
      <c r="K73" s="108">
        <v>6375.0230000000001</v>
      </c>
      <c r="L73" s="108">
        <v>6393.6490000000003</v>
      </c>
      <c r="M73" s="62">
        <v>550.16300000000001</v>
      </c>
      <c r="N73" s="62">
        <v>538.4899999999999</v>
      </c>
      <c r="O73" s="62">
        <v>561.71400000000006</v>
      </c>
      <c r="P73" s="62">
        <v>614.92099999999994</v>
      </c>
      <c r="Q73" s="62">
        <v>536.10500000000013</v>
      </c>
      <c r="R73" s="62">
        <v>566.46899999999982</v>
      </c>
      <c r="S73" s="62">
        <v>495.39200000000022</v>
      </c>
      <c r="T73" s="62">
        <v>525.33799999999962</v>
      </c>
      <c r="U73" s="62">
        <v>557.17299999999977</v>
      </c>
      <c r="V73" s="62">
        <v>503.74300000000073</v>
      </c>
      <c r="W73" s="62">
        <v>581.89299999999935</v>
      </c>
      <c r="X73" s="62">
        <v>587.59600000000034</v>
      </c>
      <c r="Y73" s="62">
        <v>6618.9970000000012</v>
      </c>
      <c r="Z73" s="16"/>
      <c r="AA73" s="62">
        <v>6375.0230000000001</v>
      </c>
      <c r="AB73" s="256">
        <v>243.97</v>
      </c>
      <c r="AD73" s="62">
        <v>6393.6490000000003</v>
      </c>
      <c r="AE73" s="256">
        <v>225.35</v>
      </c>
    </row>
    <row r="74" spans="1:31" s="253" customFormat="1" ht="8.25" customHeight="1" x14ac:dyDescent="0.2">
      <c r="A74" s="116"/>
      <c r="G74" s="16"/>
      <c r="Z74" s="16"/>
    </row>
    <row r="75" spans="1:31" ht="18" customHeight="1" x14ac:dyDescent="0.2">
      <c r="A75" s="30" t="s">
        <v>206</v>
      </c>
      <c r="B75" s="30" t="s">
        <v>38</v>
      </c>
      <c r="C75" s="4">
        <v>0.38405226887950972</v>
      </c>
      <c r="D75" s="4">
        <v>0.18040370325716568</v>
      </c>
      <c r="F75" s="106" t="s">
        <v>377</v>
      </c>
      <c r="H75" s="61">
        <v>-234.35</v>
      </c>
      <c r="I75" s="61">
        <v>-200.18899999999999</v>
      </c>
      <c r="J75" s="61">
        <v>-200.18899999999999</v>
      </c>
      <c r="K75" s="86">
        <v>-209.685</v>
      </c>
      <c r="L75" s="86">
        <v>-157.59100000000001</v>
      </c>
      <c r="M75" s="61">
        <v>-10.756</v>
      </c>
      <c r="N75" s="61">
        <v>-11.66</v>
      </c>
      <c r="O75" s="61">
        <v>-13.110000000000003</v>
      </c>
      <c r="P75" s="61">
        <v>-10.511999999999993</v>
      </c>
      <c r="Q75" s="61">
        <v>-6.8680000000000021</v>
      </c>
      <c r="R75" s="61">
        <v>-12.925999999999995</v>
      </c>
      <c r="S75" s="61">
        <v>-10.63000000000001</v>
      </c>
      <c r="T75" s="61">
        <v>-8.8130000000000024</v>
      </c>
      <c r="U75" s="61">
        <v>-9.6259999999999906</v>
      </c>
      <c r="V75" s="61">
        <v>-15.921999999999997</v>
      </c>
      <c r="W75" s="61">
        <v>-9.2830000000000013</v>
      </c>
      <c r="X75" s="61">
        <v>-9.0519999999999925</v>
      </c>
      <c r="Y75" s="61">
        <v>-129.15799999999999</v>
      </c>
      <c r="AA75" s="61">
        <v>-209.68500000000003</v>
      </c>
      <c r="AB75" s="60">
        <v>80.53</v>
      </c>
      <c r="AD75" s="61">
        <v>-157.59100000000001</v>
      </c>
      <c r="AE75" s="60">
        <v>28.43</v>
      </c>
    </row>
    <row r="76" spans="1:31" ht="18" customHeight="1" x14ac:dyDescent="0.2">
      <c r="A76" s="30" t="s">
        <v>42</v>
      </c>
      <c r="B76" s="30" t="s">
        <v>17</v>
      </c>
      <c r="C76" s="4">
        <v>0</v>
      </c>
      <c r="D76" s="4">
        <v>0</v>
      </c>
      <c r="F76" s="106" t="s">
        <v>207</v>
      </c>
      <c r="H76" s="61">
        <v>0</v>
      </c>
      <c r="I76" s="61">
        <v>0</v>
      </c>
      <c r="J76" s="61">
        <v>0</v>
      </c>
      <c r="K76" s="86">
        <v>0</v>
      </c>
      <c r="L76" s="86">
        <v>0</v>
      </c>
      <c r="M76" s="61">
        <v>0</v>
      </c>
      <c r="N76" s="61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AA76" s="61">
        <v>0</v>
      </c>
      <c r="AB76" s="60">
        <v>0</v>
      </c>
      <c r="AD76" s="61">
        <v>0</v>
      </c>
      <c r="AE76" s="60">
        <v>0</v>
      </c>
    </row>
    <row r="77" spans="1:31" ht="18" customHeight="1" collapsed="1" x14ac:dyDescent="0.2">
      <c r="A77" s="35"/>
      <c r="B77" s="35"/>
      <c r="C77" s="4">
        <v>0.38405226887950972</v>
      </c>
      <c r="D77" s="4">
        <v>0.18040370325716568</v>
      </c>
      <c r="F77" s="45" t="s">
        <v>41</v>
      </c>
      <c r="H77" s="62">
        <v>-234.35</v>
      </c>
      <c r="I77" s="62">
        <v>-200.18899999999999</v>
      </c>
      <c r="J77" s="62">
        <v>-200.18899999999999</v>
      </c>
      <c r="K77" s="108">
        <v>-209.685</v>
      </c>
      <c r="L77" s="108">
        <v>-157.59100000000001</v>
      </c>
      <c r="M77" s="62">
        <v>-10.756</v>
      </c>
      <c r="N77" s="62">
        <v>-11.66</v>
      </c>
      <c r="O77" s="62">
        <v>-13.110000000000003</v>
      </c>
      <c r="P77" s="62">
        <v>-10.511999999999993</v>
      </c>
      <c r="Q77" s="62">
        <v>-6.8680000000000021</v>
      </c>
      <c r="R77" s="62">
        <v>-12.925999999999995</v>
      </c>
      <c r="S77" s="62">
        <v>-10.63000000000001</v>
      </c>
      <c r="T77" s="62">
        <v>-8.8130000000000024</v>
      </c>
      <c r="U77" s="62">
        <v>-9.6259999999999906</v>
      </c>
      <c r="V77" s="62">
        <v>-15.921999999999997</v>
      </c>
      <c r="W77" s="62">
        <v>-9.2830000000000013</v>
      </c>
      <c r="X77" s="62">
        <v>-9.0519999999999925</v>
      </c>
      <c r="Y77" s="62">
        <v>-129.15799999999999</v>
      </c>
      <c r="AA77" s="62">
        <v>-209.68500000000003</v>
      </c>
      <c r="AB77" s="60">
        <v>80.53</v>
      </c>
      <c r="AD77" s="62">
        <v>-157.59100000000001</v>
      </c>
      <c r="AE77" s="60">
        <v>28.43</v>
      </c>
    </row>
    <row r="78" spans="1:31" ht="12.95" customHeight="1" x14ac:dyDescent="0.2">
      <c r="A78" s="35"/>
      <c r="B78" s="35"/>
      <c r="C78" s="4"/>
      <c r="D78" s="4"/>
      <c r="F78" s="39" t="s">
        <v>227</v>
      </c>
      <c r="H78" s="56">
        <v>0.10146053819327941</v>
      </c>
      <c r="I78" s="56">
        <v>7.6783050648530249E-2</v>
      </c>
      <c r="J78" s="56">
        <v>7.6783050648530249E-2</v>
      </c>
      <c r="K78" s="109">
        <v>8.2941472437095265E-2</v>
      </c>
      <c r="L78" s="109">
        <v>6.6623460407085833E-2</v>
      </c>
      <c r="M78" s="56">
        <v>5.4521492295214927E-2</v>
      </c>
      <c r="N78" s="56">
        <v>5.6772258523142251E-2</v>
      </c>
      <c r="O78" s="56">
        <v>6.0936780994789483E-2</v>
      </c>
      <c r="P78" s="56">
        <v>5.1473396597819993E-2</v>
      </c>
      <c r="Q78" s="56">
        <v>3.2827787948167673E-2</v>
      </c>
      <c r="R78" s="56">
        <v>6.2327918336250565E-2</v>
      </c>
      <c r="S78" s="56">
        <v>5.2018595546855902E-2</v>
      </c>
      <c r="T78" s="56">
        <v>4.576588927490173E-2</v>
      </c>
      <c r="U78" s="56">
        <v>5.3752813004316481E-2</v>
      </c>
      <c r="V78" s="56">
        <v>7.978432875833695E-2</v>
      </c>
      <c r="W78" s="56">
        <v>4.9675182208332946E-2</v>
      </c>
      <c r="X78" s="56">
        <v>4.4305005604201364E-2</v>
      </c>
      <c r="Y78" s="56">
        <v>5.3695711551948987E-2</v>
      </c>
      <c r="AA78" s="56">
        <v>8.2941472437095279E-2</v>
      </c>
      <c r="AB78" s="57"/>
      <c r="AD78" s="56">
        <v>6.6623460407085833E-2</v>
      </c>
      <c r="AE78" s="57"/>
    </row>
    <row r="79" spans="1:31" ht="18" customHeight="1" x14ac:dyDescent="0.2">
      <c r="A79" s="30" t="s">
        <v>39</v>
      </c>
      <c r="B79" s="30" t="s">
        <v>17</v>
      </c>
      <c r="C79" s="4">
        <v>-7.741056499391036E-5</v>
      </c>
      <c r="D79" s="4">
        <v>1.6059913683676059E-2</v>
      </c>
      <c r="F79" s="45" t="s">
        <v>40</v>
      </c>
      <c r="H79" s="62">
        <v>-2142.4630000000002</v>
      </c>
      <c r="I79" s="62">
        <v>-2043.146</v>
      </c>
      <c r="J79" s="62">
        <v>-2043.146</v>
      </c>
      <c r="K79" s="108">
        <v>-1937.72</v>
      </c>
      <c r="L79" s="108">
        <v>-1969.5</v>
      </c>
      <c r="M79" s="62">
        <v>-162.203</v>
      </c>
      <c r="N79" s="62">
        <v>-151.88000000000002</v>
      </c>
      <c r="O79" s="62">
        <v>-193.04699999999997</v>
      </c>
      <c r="P79" s="62">
        <v>-186.596</v>
      </c>
      <c r="Q79" s="62">
        <v>-133.89300000000003</v>
      </c>
      <c r="R79" s="62">
        <v>-171.03399999999999</v>
      </c>
      <c r="S79" s="62">
        <v>-193.00700000000006</v>
      </c>
      <c r="T79" s="62">
        <v>-162.94200000000001</v>
      </c>
      <c r="U79" s="62">
        <v>-155.46499999999992</v>
      </c>
      <c r="V79" s="62">
        <v>-131.30299999999988</v>
      </c>
      <c r="W79" s="62">
        <v>-138.95000000000005</v>
      </c>
      <c r="X79" s="62">
        <v>-157.54899999999998</v>
      </c>
      <c r="Y79" s="62">
        <v>-1937.8689999999999</v>
      </c>
      <c r="AA79" s="62">
        <v>-1937.72</v>
      </c>
      <c r="AB79" s="60">
        <v>-0.15</v>
      </c>
      <c r="AD79" s="62">
        <v>-1969.5</v>
      </c>
      <c r="AE79" s="60">
        <v>31.63</v>
      </c>
    </row>
    <row r="80" spans="1:31" ht="12.95" customHeight="1" x14ac:dyDescent="0.2">
      <c r="A80" s="35"/>
      <c r="B80" s="35"/>
      <c r="C80" s="4"/>
      <c r="D80" s="4"/>
      <c r="F80" s="39" t="s">
        <v>228</v>
      </c>
      <c r="H80" s="56">
        <v>0.65336722464327213</v>
      </c>
      <c r="I80" s="56">
        <v>0.63736236311960193</v>
      </c>
      <c r="J80" s="56">
        <v>0.63736236311960193</v>
      </c>
      <c r="K80" s="109">
        <v>0.6474436980057322</v>
      </c>
      <c r="L80" s="109">
        <v>0.62385175799809944</v>
      </c>
      <c r="M80" s="56">
        <v>0.65239757708365176</v>
      </c>
      <c r="N80" s="56">
        <v>0.57978538626273601</v>
      </c>
      <c r="O80" s="56">
        <v>0.93971698526512515</v>
      </c>
      <c r="P80" s="56">
        <v>0.57415920489861205</v>
      </c>
      <c r="Q80" s="56">
        <v>0.48754137399910452</v>
      </c>
      <c r="R80" s="56">
        <v>0.65611465530138846</v>
      </c>
      <c r="S80" s="56">
        <v>0.73554777266681648</v>
      </c>
      <c r="T80" s="56">
        <v>0.63333786804003533</v>
      </c>
      <c r="U80" s="56">
        <v>0.57065825842139806</v>
      </c>
      <c r="V80" s="56">
        <v>0.49839061088463182</v>
      </c>
      <c r="W80" s="56">
        <v>0.49110913968423403</v>
      </c>
      <c r="X80" s="56">
        <v>0.57552356355639689</v>
      </c>
      <c r="Y80" s="56">
        <v>0.60775850848865209</v>
      </c>
      <c r="AA80" s="56">
        <v>0.6474436980057322</v>
      </c>
      <c r="AB80" s="57"/>
      <c r="AD80" s="56">
        <v>0.62385175799809944</v>
      </c>
      <c r="AE80" s="57"/>
    </row>
    <row r="81" spans="1:31" ht="18" hidden="1" customHeight="1" outlineLevel="1" x14ac:dyDescent="0.2">
      <c r="A81" s="30" t="s">
        <v>209</v>
      </c>
      <c r="B81" s="30" t="s">
        <v>17</v>
      </c>
      <c r="C81" s="4">
        <v>0</v>
      </c>
      <c r="D81" s="4">
        <v>0</v>
      </c>
      <c r="F81" s="106" t="s">
        <v>210</v>
      </c>
      <c r="H81" s="61">
        <v>0</v>
      </c>
      <c r="I81" s="61">
        <v>0</v>
      </c>
      <c r="J81" s="61">
        <v>0</v>
      </c>
      <c r="K81" s="86">
        <v>0</v>
      </c>
      <c r="L81" s="86">
        <v>0</v>
      </c>
      <c r="M81" s="61">
        <v>0</v>
      </c>
      <c r="N81" s="61">
        <v>0</v>
      </c>
      <c r="O81" s="61">
        <v>0</v>
      </c>
      <c r="P81" s="61">
        <v>0</v>
      </c>
      <c r="Q81" s="61">
        <v>0</v>
      </c>
      <c r="R81" s="61">
        <v>0</v>
      </c>
      <c r="S81" s="61">
        <v>0</v>
      </c>
      <c r="T81" s="61">
        <v>0</v>
      </c>
      <c r="U81" s="61">
        <v>0</v>
      </c>
      <c r="V81" s="61">
        <v>0</v>
      </c>
      <c r="W81" s="61">
        <v>0</v>
      </c>
      <c r="X81" s="61">
        <v>0</v>
      </c>
      <c r="Y81" s="61">
        <v>0</v>
      </c>
      <c r="AA81" s="61">
        <v>0</v>
      </c>
      <c r="AB81" s="60">
        <v>0</v>
      </c>
      <c r="AD81" s="61">
        <v>0</v>
      </c>
      <c r="AE81" s="60">
        <v>0</v>
      </c>
    </row>
    <row r="82" spans="1:31" ht="18" hidden="1" customHeight="1" outlineLevel="1" x14ac:dyDescent="0.2">
      <c r="A82" s="30" t="s">
        <v>206</v>
      </c>
      <c r="B82" s="30" t="s">
        <v>205</v>
      </c>
      <c r="C82" s="4">
        <v>6.0073779795686739E-2</v>
      </c>
      <c r="D82" s="4">
        <v>-0.33024759533323961</v>
      </c>
      <c r="F82" s="106" t="s">
        <v>208</v>
      </c>
      <c r="H82" s="61">
        <v>-295.18900000000002</v>
      </c>
      <c r="I82" s="61">
        <v>-374.16300000000001</v>
      </c>
      <c r="J82" s="61">
        <v>-374.16300000000001</v>
      </c>
      <c r="K82" s="86">
        <v>-352.4</v>
      </c>
      <c r="L82" s="86">
        <v>-248.995</v>
      </c>
      <c r="M82" s="61">
        <v>-42.088999999999999</v>
      </c>
      <c r="N82" s="61">
        <v>-22.260000000000005</v>
      </c>
      <c r="O82" s="61">
        <v>-42.701999999999998</v>
      </c>
      <c r="P82" s="61">
        <v>-16.686999999999998</v>
      </c>
      <c r="Q82" s="61">
        <v>-38.628999999999991</v>
      </c>
      <c r="R82" s="61">
        <v>-37.875</v>
      </c>
      <c r="S82" s="61">
        <v>-20.009000000000015</v>
      </c>
      <c r="T82" s="61">
        <v>-14.943999999999988</v>
      </c>
      <c r="U82" s="61">
        <v>-23.954000000000008</v>
      </c>
      <c r="V82" s="61">
        <v>-20.627999999999986</v>
      </c>
      <c r="W82" s="61">
        <v>-31.64100000000002</v>
      </c>
      <c r="X82" s="61">
        <v>-19.810999999999979</v>
      </c>
      <c r="Y82" s="61">
        <v>-331.22899999999998</v>
      </c>
      <c r="AA82" s="61">
        <v>-352.39999999999992</v>
      </c>
      <c r="AB82" s="60">
        <v>21.17</v>
      </c>
      <c r="AD82" s="61">
        <v>-248.995</v>
      </c>
      <c r="AE82" s="60">
        <v>-82.23</v>
      </c>
    </row>
    <row r="83" spans="1:31" ht="18" customHeight="1" collapsed="1" x14ac:dyDescent="0.2">
      <c r="A83" s="35"/>
      <c r="B83" s="35"/>
      <c r="C83" s="4">
        <v>6.0073779795686739E-2</v>
      </c>
      <c r="D83" s="4">
        <v>-0.33024759533323961</v>
      </c>
      <c r="F83" s="45" t="s">
        <v>314</v>
      </c>
      <c r="H83" s="62">
        <v>-295.18900000000002</v>
      </c>
      <c r="I83" s="62">
        <v>-374.16300000000001</v>
      </c>
      <c r="J83" s="62">
        <v>-374.16300000000001</v>
      </c>
      <c r="K83" s="108">
        <v>-352.4</v>
      </c>
      <c r="L83" s="108">
        <v>-248.995</v>
      </c>
      <c r="M83" s="62">
        <v>-42.088999999999999</v>
      </c>
      <c r="N83" s="62">
        <v>-22.260000000000005</v>
      </c>
      <c r="O83" s="62">
        <v>-42.701999999999998</v>
      </c>
      <c r="P83" s="62">
        <v>-16.686999999999998</v>
      </c>
      <c r="Q83" s="62">
        <v>-38.628999999999991</v>
      </c>
      <c r="R83" s="62">
        <v>-37.875</v>
      </c>
      <c r="S83" s="62">
        <v>-20.009000000000015</v>
      </c>
      <c r="T83" s="62">
        <v>-14.943999999999988</v>
      </c>
      <c r="U83" s="62">
        <v>-23.954000000000008</v>
      </c>
      <c r="V83" s="62">
        <v>-20.627999999999986</v>
      </c>
      <c r="W83" s="62">
        <v>-31.64100000000002</v>
      </c>
      <c r="X83" s="62">
        <v>-19.810999999999979</v>
      </c>
      <c r="Y83" s="62">
        <v>-331.22899999999998</v>
      </c>
      <c r="AA83" s="62">
        <v>-352.39999999999992</v>
      </c>
      <c r="AB83" s="60">
        <v>21.17</v>
      </c>
      <c r="AD83" s="62">
        <v>-248.995</v>
      </c>
      <c r="AE83" s="60">
        <v>-82.23</v>
      </c>
    </row>
    <row r="84" spans="1:31" ht="12.95" customHeight="1" x14ac:dyDescent="0.2">
      <c r="A84" s="35"/>
      <c r="B84" s="35"/>
      <c r="C84" s="4"/>
      <c r="D84" s="4"/>
      <c r="F84" s="39" t="s">
        <v>222</v>
      </c>
      <c r="H84" s="56">
        <v>0.25025284787671365</v>
      </c>
      <c r="I84" s="56">
        <v>0.36856777264349905</v>
      </c>
      <c r="J84" s="56">
        <v>0.36856777264349905</v>
      </c>
      <c r="K84" s="109">
        <v>0.39895122470327715</v>
      </c>
      <c r="L84" s="109">
        <v>0.28752276267579369</v>
      </c>
      <c r="M84" s="56">
        <v>0.55301676564881475</v>
      </c>
      <c r="N84" s="56">
        <v>0.20799267447184255</v>
      </c>
      <c r="O84" s="56">
        <v>0.39934163151939095</v>
      </c>
      <c r="P84" s="56">
        <v>0.16062490374249191</v>
      </c>
      <c r="Q84" s="56">
        <v>0.71129483685644834</v>
      </c>
      <c r="R84" s="56">
        <v>0.41318933071510383</v>
      </c>
      <c r="S84" s="56">
        <v>0.44039705947088148</v>
      </c>
      <c r="T84" s="56">
        <v>0.18853451756156625</v>
      </c>
      <c r="U84" s="56">
        <v>0.25377150605983551</v>
      </c>
      <c r="V84" s="56">
        <v>0.48801722302396516</v>
      </c>
      <c r="W84" s="56">
        <v>0.28014024276873239</v>
      </c>
      <c r="X84" s="56">
        <v>0.18438613962752326</v>
      </c>
      <c r="Y84" s="56">
        <v>0.32420287528678476</v>
      </c>
      <c r="AA84" s="56">
        <v>0.39895122470327704</v>
      </c>
      <c r="AB84" s="57"/>
      <c r="AD84" s="56">
        <v>0.28752276267579374</v>
      </c>
      <c r="AE84" s="57"/>
    </row>
    <row r="85" spans="1:31" ht="18" hidden="1" customHeight="1" outlineLevel="2" x14ac:dyDescent="0.2">
      <c r="A85" s="33" t="s">
        <v>43</v>
      </c>
      <c r="B85" s="33" t="s">
        <v>17</v>
      </c>
      <c r="C85" s="4"/>
      <c r="D85" s="4"/>
      <c r="F85" s="38" t="s">
        <v>44</v>
      </c>
      <c r="H85" s="66">
        <v>0</v>
      </c>
      <c r="I85" s="66">
        <v>0</v>
      </c>
      <c r="J85" s="66">
        <v>0</v>
      </c>
      <c r="K85" s="86"/>
      <c r="L85" s="86"/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AA85" s="70"/>
      <c r="AB85" s="71"/>
      <c r="AD85" s="70"/>
      <c r="AE85" s="71"/>
    </row>
    <row r="86" spans="1:31" ht="18" hidden="1" customHeight="1" outlineLevel="2" x14ac:dyDescent="0.2">
      <c r="A86" s="33" t="s">
        <v>43</v>
      </c>
      <c r="B86" s="33" t="s">
        <v>17</v>
      </c>
      <c r="C86" s="4"/>
      <c r="D86" s="4"/>
      <c r="F86" s="38" t="s">
        <v>45</v>
      </c>
      <c r="H86" s="66">
        <v>0</v>
      </c>
      <c r="I86" s="66">
        <v>0</v>
      </c>
      <c r="J86" s="66">
        <v>0</v>
      </c>
      <c r="K86" s="86"/>
      <c r="L86" s="86"/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AA86" s="70"/>
      <c r="AB86" s="71"/>
      <c r="AD86" s="70"/>
      <c r="AE86" s="71"/>
    </row>
    <row r="87" spans="1:31" ht="18" hidden="1" customHeight="1" outlineLevel="2" x14ac:dyDescent="0.2">
      <c r="A87" s="33" t="s">
        <v>46</v>
      </c>
      <c r="B87" s="33" t="s">
        <v>17</v>
      </c>
      <c r="C87" s="4">
        <v>-1.0004221190375686</v>
      </c>
      <c r="D87" s="4">
        <v>-1.0004221190375686</v>
      </c>
      <c r="F87" s="38" t="s">
        <v>47</v>
      </c>
      <c r="H87" s="66">
        <v>-8.6590000000000007</v>
      </c>
      <c r="I87" s="66">
        <v>-6.5890000000000004</v>
      </c>
      <c r="J87" s="66">
        <v>-6.5890000000000004</v>
      </c>
      <c r="K87" s="86">
        <v>0</v>
      </c>
      <c r="L87" s="8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-14.715999999999999</v>
      </c>
      <c r="T87" s="66">
        <v>14.715999999999999</v>
      </c>
      <c r="U87" s="66">
        <v>-2.3690000000000002</v>
      </c>
      <c r="V87" s="66">
        <v>0</v>
      </c>
      <c r="W87" s="66">
        <v>0</v>
      </c>
      <c r="X87" s="66">
        <v>0</v>
      </c>
      <c r="Y87" s="66">
        <v>-2.3690000000000002</v>
      </c>
      <c r="AA87" s="66">
        <v>0</v>
      </c>
      <c r="AB87" s="65">
        <v>-2.37</v>
      </c>
      <c r="AD87" s="66">
        <v>0</v>
      </c>
      <c r="AE87" s="65">
        <v>-2.37</v>
      </c>
    </row>
    <row r="88" spans="1:31" ht="18" hidden="1" customHeight="1" outlineLevel="1" x14ac:dyDescent="0.2">
      <c r="A88" s="35"/>
      <c r="B88" s="35"/>
      <c r="C88" s="4">
        <v>-1.0004221190375686</v>
      </c>
      <c r="D88" s="4">
        <v>-1.0004221190375686</v>
      </c>
      <c r="F88" s="106" t="s">
        <v>48</v>
      </c>
      <c r="H88" s="61">
        <v>-8.6590000000000007</v>
      </c>
      <c r="I88" s="61">
        <v>-6.5890000000000004</v>
      </c>
      <c r="J88" s="61">
        <v>-6.5890000000000004</v>
      </c>
      <c r="K88" s="86">
        <v>0</v>
      </c>
      <c r="L88" s="86">
        <v>0</v>
      </c>
      <c r="M88" s="61">
        <v>0</v>
      </c>
      <c r="N88" s="61">
        <v>0</v>
      </c>
      <c r="O88" s="61">
        <v>0</v>
      </c>
      <c r="P88" s="61">
        <v>0</v>
      </c>
      <c r="Q88" s="61">
        <v>0</v>
      </c>
      <c r="R88" s="61">
        <v>0</v>
      </c>
      <c r="S88" s="61">
        <v>-14.715999999999999</v>
      </c>
      <c r="T88" s="61">
        <v>14.715999999999999</v>
      </c>
      <c r="U88" s="61">
        <v>-2.3690000000000002</v>
      </c>
      <c r="V88" s="61">
        <v>0</v>
      </c>
      <c r="W88" s="61">
        <v>0</v>
      </c>
      <c r="X88" s="61">
        <v>0</v>
      </c>
      <c r="Y88" s="61">
        <v>-2.3690000000000002</v>
      </c>
      <c r="AA88" s="61">
        <v>0</v>
      </c>
      <c r="AB88" s="60">
        <v>-2.37</v>
      </c>
      <c r="AD88" s="61">
        <v>0</v>
      </c>
      <c r="AE88" s="60">
        <v>-2.37</v>
      </c>
    </row>
    <row r="89" spans="1:31" ht="18" hidden="1" customHeight="1" outlineLevel="1" x14ac:dyDescent="0.2">
      <c r="A89" s="30" t="s">
        <v>50</v>
      </c>
      <c r="B89" s="30" t="s">
        <v>17</v>
      </c>
      <c r="C89" s="4">
        <v>-1.0042432814710043</v>
      </c>
      <c r="D89" s="4">
        <v>-1.0042432814710043</v>
      </c>
      <c r="F89" s="106" t="s">
        <v>52</v>
      </c>
      <c r="H89" s="61">
        <v>0.18</v>
      </c>
      <c r="I89" s="61">
        <v>0</v>
      </c>
      <c r="J89" s="61">
        <v>0</v>
      </c>
      <c r="K89" s="86">
        <v>0</v>
      </c>
      <c r="L89" s="86">
        <v>0</v>
      </c>
      <c r="M89" s="61">
        <v>0</v>
      </c>
      <c r="N89" s="61">
        <v>0</v>
      </c>
      <c r="O89" s="61">
        <v>0</v>
      </c>
      <c r="P89" s="61">
        <v>0</v>
      </c>
      <c r="Q89" s="61">
        <v>0</v>
      </c>
      <c r="R89" s="61">
        <v>0</v>
      </c>
      <c r="S89" s="61">
        <v>-0.46800000000000003</v>
      </c>
      <c r="T89" s="61">
        <v>0</v>
      </c>
      <c r="U89" s="61">
        <v>0</v>
      </c>
      <c r="V89" s="61">
        <v>0</v>
      </c>
      <c r="W89" s="61">
        <v>-3.7999999999999978E-2</v>
      </c>
      <c r="X89" s="61">
        <v>-0.20099999999999996</v>
      </c>
      <c r="Y89" s="61">
        <v>-0.70699999999999996</v>
      </c>
      <c r="AA89" s="61">
        <v>0</v>
      </c>
      <c r="AB89" s="60">
        <v>-0.71</v>
      </c>
      <c r="AD89" s="61">
        <v>0</v>
      </c>
      <c r="AE89" s="60">
        <v>-0.71</v>
      </c>
    </row>
    <row r="90" spans="1:31" ht="18" hidden="1" customHeight="1" outlineLevel="1" x14ac:dyDescent="0.2">
      <c r="A90" s="30" t="s">
        <v>49</v>
      </c>
      <c r="B90" s="30" t="s">
        <v>17</v>
      </c>
      <c r="C90" s="4">
        <v>0</v>
      </c>
      <c r="D90" s="4">
        <v>0</v>
      </c>
      <c r="F90" s="106" t="s">
        <v>51</v>
      </c>
      <c r="H90" s="61">
        <v>0</v>
      </c>
      <c r="I90" s="61">
        <v>0</v>
      </c>
      <c r="J90" s="61">
        <v>0</v>
      </c>
      <c r="K90" s="86">
        <v>0</v>
      </c>
      <c r="L90" s="86">
        <v>0</v>
      </c>
      <c r="M90" s="61">
        <v>0</v>
      </c>
      <c r="N90" s="61">
        <v>0</v>
      </c>
      <c r="O90" s="61">
        <v>0</v>
      </c>
      <c r="P90" s="61">
        <v>0</v>
      </c>
      <c r="Q90" s="61">
        <v>0</v>
      </c>
      <c r="R90" s="61">
        <v>0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0</v>
      </c>
      <c r="Y90" s="61">
        <v>0</v>
      </c>
      <c r="AA90" s="61">
        <v>0</v>
      </c>
      <c r="AB90" s="60">
        <v>0</v>
      </c>
      <c r="AD90" s="61">
        <v>0</v>
      </c>
      <c r="AE90" s="60">
        <v>0</v>
      </c>
    </row>
    <row r="91" spans="1:31" ht="18" hidden="1" customHeight="1" outlineLevel="1" x14ac:dyDescent="0.2">
      <c r="A91" s="30" t="s">
        <v>213</v>
      </c>
      <c r="B91" s="30" t="s">
        <v>17</v>
      </c>
      <c r="C91" s="4">
        <v>-1</v>
      </c>
      <c r="D91" s="4">
        <v>-1</v>
      </c>
      <c r="F91" s="106" t="s">
        <v>215</v>
      </c>
      <c r="H91" s="61">
        <v>-2.59</v>
      </c>
      <c r="I91" s="61">
        <v>-1.7889999999999999</v>
      </c>
      <c r="J91" s="61">
        <v>-1.7889999999999999</v>
      </c>
      <c r="K91" s="86">
        <v>0</v>
      </c>
      <c r="L91" s="86">
        <v>0</v>
      </c>
      <c r="M91" s="61">
        <v>-5.7000000000000002E-2</v>
      </c>
      <c r="N91" s="61">
        <v>-4.2000000000000003E-2</v>
      </c>
      <c r="O91" s="61">
        <v>-0.122</v>
      </c>
      <c r="P91" s="61">
        <v>-5.0000000000000044E-3</v>
      </c>
      <c r="Q91" s="61">
        <v>-0.12999999999999998</v>
      </c>
      <c r="R91" s="61">
        <v>-0.16200000000000003</v>
      </c>
      <c r="S91" s="61">
        <v>-5.4999999999999938E-2</v>
      </c>
      <c r="T91" s="61">
        <v>-0.18300000000000005</v>
      </c>
      <c r="U91" s="61">
        <v>-3.6000000000000032E-2</v>
      </c>
      <c r="V91" s="61">
        <v>-2.4999999999999911E-2</v>
      </c>
      <c r="W91" s="61">
        <v>-7.3000000000000065E-2</v>
      </c>
      <c r="X91" s="61">
        <v>-3.0000000000000027E-2</v>
      </c>
      <c r="Y91" s="61">
        <v>-0.92</v>
      </c>
      <c r="AA91" s="61">
        <v>0</v>
      </c>
      <c r="AB91" s="60">
        <v>-0.92</v>
      </c>
      <c r="AD91" s="61">
        <v>0</v>
      </c>
      <c r="AE91" s="60">
        <v>-0.92</v>
      </c>
    </row>
    <row r="92" spans="1:31" ht="18" hidden="1" customHeight="1" outlineLevel="1" x14ac:dyDescent="0.2">
      <c r="A92" s="30" t="s">
        <v>214</v>
      </c>
      <c r="B92" s="30" t="s">
        <v>17</v>
      </c>
      <c r="C92" s="4">
        <v>0</v>
      </c>
      <c r="D92" s="4">
        <v>0</v>
      </c>
      <c r="F92" s="106" t="s">
        <v>216</v>
      </c>
      <c r="H92" s="61">
        <v>0</v>
      </c>
      <c r="I92" s="61">
        <v>0</v>
      </c>
      <c r="J92" s="61">
        <v>0</v>
      </c>
      <c r="K92" s="86">
        <v>0</v>
      </c>
      <c r="L92" s="86">
        <v>0</v>
      </c>
      <c r="M92" s="61">
        <v>0</v>
      </c>
      <c r="N92" s="61">
        <v>0</v>
      </c>
      <c r="O92" s="61">
        <v>0</v>
      </c>
      <c r="P92" s="61">
        <v>0</v>
      </c>
      <c r="Q92" s="61">
        <v>0</v>
      </c>
      <c r="R92" s="61">
        <v>0</v>
      </c>
      <c r="S92" s="61">
        <v>0</v>
      </c>
      <c r="T92" s="61">
        <v>0</v>
      </c>
      <c r="U92" s="61">
        <v>0</v>
      </c>
      <c r="V92" s="61">
        <v>0</v>
      </c>
      <c r="W92" s="61">
        <v>0</v>
      </c>
      <c r="X92" s="61">
        <v>0</v>
      </c>
      <c r="Y92" s="61">
        <v>0</v>
      </c>
      <c r="AA92" s="61">
        <v>0</v>
      </c>
      <c r="AB92" s="60">
        <v>0</v>
      </c>
      <c r="AD92" s="61">
        <v>0</v>
      </c>
      <c r="AE92" s="60">
        <v>0</v>
      </c>
    </row>
    <row r="93" spans="1:31" ht="18" hidden="1" customHeight="1" outlineLevel="2" x14ac:dyDescent="0.2">
      <c r="A93" s="33" t="s">
        <v>53</v>
      </c>
      <c r="B93" s="33" t="s">
        <v>17</v>
      </c>
      <c r="C93" s="4">
        <v>-1</v>
      </c>
      <c r="D93" s="4">
        <v>-1</v>
      </c>
      <c r="F93" s="38" t="s">
        <v>55</v>
      </c>
      <c r="H93" s="66">
        <v>1.6659999999999999</v>
      </c>
      <c r="I93" s="66">
        <v>1.4210854715202001E-14</v>
      </c>
      <c r="J93" s="66">
        <v>1.4210854715202001E-14</v>
      </c>
      <c r="K93" s="86">
        <v>0</v>
      </c>
      <c r="L93" s="86">
        <v>0</v>
      </c>
      <c r="M93" s="66">
        <v>-3.5527136788005001E-15</v>
      </c>
      <c r="N93" s="66">
        <v>1.06581410364015E-14</v>
      </c>
      <c r="O93" s="66">
        <v>-7.1054273576009995E-15</v>
      </c>
      <c r="P93" s="66">
        <v>0</v>
      </c>
      <c r="Q93" s="66">
        <v>0</v>
      </c>
      <c r="R93" s="66">
        <v>-2.8421709430404001E-14</v>
      </c>
      <c r="S93" s="66">
        <v>1.0000000000331918E-3</v>
      </c>
      <c r="T93" s="66">
        <v>-1.0000000000047701E-3</v>
      </c>
      <c r="U93" s="66">
        <v>0</v>
      </c>
      <c r="V93" s="66">
        <v>-46.442</v>
      </c>
      <c r="W93" s="66">
        <v>-4.8000000000001819E-2</v>
      </c>
      <c r="X93" s="66">
        <v>0</v>
      </c>
      <c r="Y93" s="66">
        <v>-46.49</v>
      </c>
      <c r="AA93" s="66">
        <v>0</v>
      </c>
      <c r="AB93" s="60">
        <v>-46.49</v>
      </c>
      <c r="AD93" s="66">
        <v>0</v>
      </c>
      <c r="AE93" s="60">
        <v>-46.49</v>
      </c>
    </row>
    <row r="94" spans="1:31" ht="18" hidden="1" customHeight="1" outlineLevel="2" x14ac:dyDescent="0.2">
      <c r="A94" s="33" t="s">
        <v>54</v>
      </c>
      <c r="B94" s="33" t="s">
        <v>17</v>
      </c>
      <c r="C94" s="4">
        <v>0</v>
      </c>
      <c r="D94" s="4">
        <v>0</v>
      </c>
      <c r="F94" s="38" t="s">
        <v>56</v>
      </c>
      <c r="H94" s="66">
        <v>0</v>
      </c>
      <c r="I94" s="66">
        <v>0</v>
      </c>
      <c r="J94" s="66">
        <v>0</v>
      </c>
      <c r="K94" s="86">
        <v>0</v>
      </c>
      <c r="L94" s="8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AA94" s="66">
        <v>0</v>
      </c>
      <c r="AB94" s="60">
        <v>0</v>
      </c>
      <c r="AD94" s="66">
        <v>0</v>
      </c>
      <c r="AE94" s="60">
        <v>0</v>
      </c>
    </row>
    <row r="95" spans="1:31" ht="18" hidden="1" customHeight="1" outlineLevel="1" x14ac:dyDescent="0.2">
      <c r="A95" s="35"/>
      <c r="B95" s="35"/>
      <c r="C95" s="4">
        <v>0.99974166881944126</v>
      </c>
      <c r="D95" s="4">
        <v>0.99974166881944126</v>
      </c>
      <c r="F95" s="106" t="s">
        <v>58</v>
      </c>
      <c r="H95" s="61">
        <v>-16.774999999999881</v>
      </c>
      <c r="I95" s="61">
        <v>11.047999999999845</v>
      </c>
      <c r="J95" s="61">
        <v>11.047999999999845</v>
      </c>
      <c r="K95" s="86">
        <v>0</v>
      </c>
      <c r="L95" s="86">
        <v>0</v>
      </c>
      <c r="M95" s="61">
        <v>0.15699999999999431</v>
      </c>
      <c r="N95" s="61">
        <v>0.60000000000003539</v>
      </c>
      <c r="O95" s="61">
        <v>0.82999999999996998</v>
      </c>
      <c r="P95" s="61">
        <v>-1.0300000000000393</v>
      </c>
      <c r="Q95" s="61">
        <v>2.3450000000000601</v>
      </c>
      <c r="R95" s="61">
        <v>-0.5760000000001132</v>
      </c>
      <c r="S95" s="61">
        <v>22.100000000000218</v>
      </c>
      <c r="T95" s="61">
        <v>-22.790000000000148</v>
      </c>
      <c r="U95" s="61">
        <v>6.7729999999999944</v>
      </c>
      <c r="V95" s="61">
        <v>-5.2610000000002568</v>
      </c>
      <c r="W95" s="61">
        <v>1.8530000000000189</v>
      </c>
      <c r="X95" s="61">
        <v>-1.1299999999997341</v>
      </c>
      <c r="Y95" s="61">
        <v>3.8709999999999432</v>
      </c>
      <c r="AA95" s="61">
        <v>0</v>
      </c>
      <c r="AB95" s="60">
        <v>3.87</v>
      </c>
      <c r="AD95" s="61">
        <v>0</v>
      </c>
      <c r="AE95" s="60">
        <v>3.87</v>
      </c>
    </row>
    <row r="96" spans="1:31" ht="18" customHeight="1" collapsed="1" x14ac:dyDescent="0.2">
      <c r="A96" s="35"/>
      <c r="B96" s="35"/>
      <c r="C96" s="4">
        <v>-1.0399999999995271</v>
      </c>
      <c r="D96" s="4">
        <v>-1.0399999999995271</v>
      </c>
      <c r="F96" s="45" t="s">
        <v>26</v>
      </c>
      <c r="H96" s="62">
        <v>-27.84399999999988</v>
      </c>
      <c r="I96" s="62">
        <v>2.6699999999998454</v>
      </c>
      <c r="J96" s="62">
        <v>2.6699999999998454</v>
      </c>
      <c r="K96" s="108">
        <v>0</v>
      </c>
      <c r="L96" s="108">
        <v>0</v>
      </c>
      <c r="M96" s="62">
        <v>9.9999999999994316E-2</v>
      </c>
      <c r="N96" s="62">
        <v>0.55800000000003536</v>
      </c>
      <c r="O96" s="62">
        <v>0.70799999999996999</v>
      </c>
      <c r="P96" s="62">
        <v>-1.0350000000000392</v>
      </c>
      <c r="Q96" s="62">
        <v>2.2150000000000603</v>
      </c>
      <c r="R96" s="62">
        <v>-0.73800000000011323</v>
      </c>
      <c r="S96" s="62">
        <v>6.8610000000002174</v>
      </c>
      <c r="T96" s="62">
        <v>-8.2570000000001471</v>
      </c>
      <c r="U96" s="62">
        <v>4.367999999999995</v>
      </c>
      <c r="V96" s="62">
        <v>-5.2860000000002572</v>
      </c>
      <c r="W96" s="62">
        <v>1.7420000000000186</v>
      </c>
      <c r="X96" s="62">
        <v>-1.3609999999997342</v>
      </c>
      <c r="Y96" s="62">
        <v>-0.12500000000005684</v>
      </c>
      <c r="AA96" s="62">
        <v>0</v>
      </c>
      <c r="AB96" s="60">
        <v>-0.13</v>
      </c>
      <c r="AD96" s="62">
        <v>0</v>
      </c>
      <c r="AE96" s="60">
        <v>-0.13</v>
      </c>
    </row>
    <row r="97" spans="1:31" ht="18" customHeight="1" x14ac:dyDescent="0.2">
      <c r="A97" s="30" t="s">
        <v>16</v>
      </c>
      <c r="B97" s="30" t="s">
        <v>17</v>
      </c>
      <c r="C97" s="4">
        <v>4.0571164550834968E-2</v>
      </c>
      <c r="D97" s="4">
        <v>-9.3851821861666643E-3</v>
      </c>
      <c r="F97" s="95" t="s">
        <v>118</v>
      </c>
      <c r="H97" s="64">
        <v>-2699.846</v>
      </c>
      <c r="I97" s="64">
        <v>-2614.828</v>
      </c>
      <c r="J97" s="64">
        <v>-2614.828</v>
      </c>
      <c r="K97" s="89">
        <v>-2499.8049999999998</v>
      </c>
      <c r="L97" s="89">
        <v>-2376.0859999999998</v>
      </c>
      <c r="M97" s="64">
        <v>-214.94800000000001</v>
      </c>
      <c r="N97" s="64">
        <v>-185.24199999999999</v>
      </c>
      <c r="O97" s="64">
        <v>-248.15100000000001</v>
      </c>
      <c r="P97" s="64">
        <v>-214.83000000000004</v>
      </c>
      <c r="Q97" s="64">
        <v>-177.17499999999995</v>
      </c>
      <c r="R97" s="64">
        <v>-222.57300000000009</v>
      </c>
      <c r="S97" s="64">
        <v>-216.78499999999985</v>
      </c>
      <c r="T97" s="64">
        <v>-194.95600000000013</v>
      </c>
      <c r="U97" s="64">
        <v>-184.67699999999991</v>
      </c>
      <c r="V97" s="64">
        <v>-173.13900000000012</v>
      </c>
      <c r="W97" s="64">
        <v>-178.13200000000006</v>
      </c>
      <c r="X97" s="64">
        <v>-187.77299999999968</v>
      </c>
      <c r="Y97" s="64">
        <v>-2398.3809999999999</v>
      </c>
      <c r="AA97" s="64">
        <v>-2499.8049999999998</v>
      </c>
      <c r="AB97" s="60">
        <v>101.42</v>
      </c>
      <c r="AD97" s="64">
        <v>-2376.0859999999998</v>
      </c>
      <c r="AE97" s="60">
        <v>-22.3</v>
      </c>
    </row>
    <row r="98" spans="1:31" ht="12.95" customHeight="1" x14ac:dyDescent="0.2">
      <c r="A98" s="35"/>
      <c r="B98" s="35"/>
      <c r="C98" s="4"/>
      <c r="D98" s="4"/>
      <c r="F98" s="39" t="s">
        <v>223</v>
      </c>
      <c r="H98" s="56">
        <v>0.3988919626663105</v>
      </c>
      <c r="I98" s="56">
        <v>0.38294442268832068</v>
      </c>
      <c r="J98" s="56">
        <v>0.38294442268832068</v>
      </c>
      <c r="K98" s="109">
        <v>0.39028821598298707</v>
      </c>
      <c r="L98" s="109">
        <v>0.37193763257429596</v>
      </c>
      <c r="M98" s="56">
        <v>0.41176673422551885</v>
      </c>
      <c r="N98" s="56">
        <v>0.32251673155002752</v>
      </c>
      <c r="O98" s="56">
        <v>0.47042576061178798</v>
      </c>
      <c r="P98" s="56">
        <v>0.33933027957668627</v>
      </c>
      <c r="Q98" s="56">
        <v>0.32922976865186271</v>
      </c>
      <c r="R98" s="56">
        <v>0.39764421711220993</v>
      </c>
      <c r="S98" s="56">
        <v>0.42325692184238789</v>
      </c>
      <c r="T98" s="56">
        <v>0.36846303009226933</v>
      </c>
      <c r="U98" s="56">
        <v>0.3382969837076984</v>
      </c>
      <c r="V98" s="56">
        <v>0.34265544661835051</v>
      </c>
      <c r="W98" s="56">
        <v>0.30567376860139517</v>
      </c>
      <c r="X98" s="56">
        <v>0.3207037367870012</v>
      </c>
      <c r="Y98" s="56">
        <v>0.36253460007811844</v>
      </c>
      <c r="AA98" s="56">
        <v>0.39028821598298707</v>
      </c>
      <c r="AB98" s="57"/>
      <c r="AD98" s="56">
        <v>0.37193763257429596</v>
      </c>
      <c r="AE98" s="57"/>
    </row>
    <row r="99" spans="1:31" ht="6.95" customHeight="1" x14ac:dyDescent="0.2">
      <c r="C99" s="4"/>
      <c r="D99" s="4"/>
      <c r="F99" s="96"/>
      <c r="K99" s="110"/>
      <c r="L99" s="110"/>
      <c r="AB99" s="7"/>
      <c r="AE99" s="7"/>
    </row>
    <row r="100" spans="1:31" ht="18" hidden="1" customHeight="1" outlineLevel="1" x14ac:dyDescent="0.2">
      <c r="A100" s="30" t="s">
        <v>36</v>
      </c>
      <c r="B100" s="30" t="s">
        <v>59</v>
      </c>
      <c r="C100" s="4"/>
      <c r="D100" s="4"/>
      <c r="F100" s="51" t="s">
        <v>235</v>
      </c>
      <c r="G100" s="34"/>
      <c r="H100" s="72">
        <v>2.84</v>
      </c>
      <c r="I100" s="72">
        <v>3.762</v>
      </c>
      <c r="J100" s="72">
        <v>3.762</v>
      </c>
      <c r="K100" s="111">
        <v>2.82</v>
      </c>
      <c r="L100" s="111">
        <v>3.76</v>
      </c>
      <c r="M100" s="72">
        <v>3.8040000000000003</v>
      </c>
      <c r="N100" s="72">
        <v>3.8040000000000003</v>
      </c>
      <c r="O100" s="72">
        <v>3.3960000000000008</v>
      </c>
      <c r="P100" s="72">
        <v>3.8039999999999985</v>
      </c>
      <c r="Q100" s="72">
        <v>3.8039999999999985</v>
      </c>
      <c r="R100" s="72">
        <v>3.804000000000002</v>
      </c>
      <c r="S100" s="72">
        <v>3.8039999999999985</v>
      </c>
      <c r="T100" s="72">
        <v>3.8039999999999985</v>
      </c>
      <c r="U100" s="72">
        <v>2.9880000000000031</v>
      </c>
      <c r="V100" s="72">
        <v>3.9840000000000018</v>
      </c>
      <c r="W100" s="72">
        <v>3.9840000000000018</v>
      </c>
      <c r="X100" s="72">
        <v>3.9839999999999947</v>
      </c>
      <c r="Y100" s="72">
        <v>3.7469999999999999</v>
      </c>
      <c r="Z100" s="34"/>
      <c r="AA100" s="72">
        <v>2.82</v>
      </c>
      <c r="AB100" s="73">
        <v>0.93</v>
      </c>
      <c r="AC100" s="34"/>
      <c r="AD100" s="72">
        <v>3.76</v>
      </c>
      <c r="AE100" s="73">
        <v>-0.01</v>
      </c>
    </row>
    <row r="101" spans="1:31" ht="18" hidden="1" customHeight="1" outlineLevel="1" x14ac:dyDescent="0.2">
      <c r="A101" s="30" t="s">
        <v>36</v>
      </c>
      <c r="B101" s="30" t="s">
        <v>60</v>
      </c>
      <c r="C101" s="4"/>
      <c r="D101" s="4"/>
      <c r="F101" s="51" t="s">
        <v>236</v>
      </c>
      <c r="G101" s="34"/>
      <c r="H101" s="72">
        <v>0</v>
      </c>
      <c r="I101" s="72">
        <v>0.96200000000000008</v>
      </c>
      <c r="J101" s="72">
        <v>0.96199999999999997</v>
      </c>
      <c r="K101" s="111">
        <v>1</v>
      </c>
      <c r="L101" s="111">
        <v>1</v>
      </c>
      <c r="M101" s="72">
        <v>0.996</v>
      </c>
      <c r="N101" s="72">
        <v>0.996</v>
      </c>
      <c r="O101" s="72">
        <v>0.996</v>
      </c>
      <c r="P101" s="72">
        <v>0.996</v>
      </c>
      <c r="Q101" s="72">
        <v>0.99599999999999955</v>
      </c>
      <c r="R101" s="72">
        <v>0.99600000000000044</v>
      </c>
      <c r="S101" s="72">
        <v>0.99599999999999955</v>
      </c>
      <c r="T101" s="72">
        <v>0.99600000000000044</v>
      </c>
      <c r="U101" s="72">
        <v>0.99600000000000044</v>
      </c>
      <c r="V101" s="72">
        <v>0.99599999999999866</v>
      </c>
      <c r="W101" s="72">
        <v>0.99600000000000044</v>
      </c>
      <c r="X101" s="72">
        <v>0.99600000000000044</v>
      </c>
      <c r="Y101" s="72">
        <v>0.996</v>
      </c>
      <c r="Z101" s="34"/>
      <c r="AA101" s="72">
        <v>1</v>
      </c>
      <c r="AB101" s="73">
        <v>0</v>
      </c>
      <c r="AC101" s="34"/>
      <c r="AD101" s="72">
        <v>1</v>
      </c>
      <c r="AE101" s="73">
        <v>0</v>
      </c>
    </row>
    <row r="102" spans="1:31" ht="18" hidden="1" customHeight="1" outlineLevel="1" x14ac:dyDescent="0.2">
      <c r="A102" s="30" t="s">
        <v>36</v>
      </c>
      <c r="B102" s="30" t="s">
        <v>61</v>
      </c>
      <c r="C102" s="4"/>
      <c r="D102" s="4"/>
      <c r="F102" s="51" t="s">
        <v>237</v>
      </c>
      <c r="G102" s="34"/>
      <c r="H102" s="72">
        <v>32.9</v>
      </c>
      <c r="I102" s="72">
        <v>28.742999999999999</v>
      </c>
      <c r="J102" s="72">
        <v>28.742999999999999</v>
      </c>
      <c r="K102" s="111">
        <v>26.28</v>
      </c>
      <c r="L102" s="111">
        <v>25.515000000000001</v>
      </c>
      <c r="M102" s="72">
        <v>26.603999999999999</v>
      </c>
      <c r="N102" s="72">
        <v>24.515999999999998</v>
      </c>
      <c r="O102" s="72">
        <v>25.140000000000008</v>
      </c>
      <c r="P102" s="72">
        <v>22.667999999999992</v>
      </c>
      <c r="Q102" s="72">
        <v>22.739999999999995</v>
      </c>
      <c r="R102" s="72">
        <v>23.184000000000012</v>
      </c>
      <c r="S102" s="72">
        <v>26.159999999999997</v>
      </c>
      <c r="T102" s="72">
        <v>25.139999999999986</v>
      </c>
      <c r="U102" s="72">
        <v>26.075999999999993</v>
      </c>
      <c r="V102" s="72">
        <v>25.896000000000015</v>
      </c>
      <c r="W102" s="72">
        <v>27.107999999999976</v>
      </c>
      <c r="X102" s="72">
        <v>27.600000000000023</v>
      </c>
      <c r="Y102" s="72">
        <v>25.236000000000001</v>
      </c>
      <c r="Z102" s="34"/>
      <c r="AA102" s="72">
        <v>26.28</v>
      </c>
      <c r="AB102" s="73">
        <v>-1.04</v>
      </c>
      <c r="AC102" s="34"/>
      <c r="AD102" s="72">
        <v>25.515000000000001</v>
      </c>
      <c r="AE102" s="73">
        <v>-0.28000000000000003</v>
      </c>
    </row>
    <row r="103" spans="1:31" ht="18" hidden="1" customHeight="1" outlineLevel="1" x14ac:dyDescent="0.2">
      <c r="A103" s="30" t="s">
        <v>36</v>
      </c>
      <c r="B103" s="30" t="s">
        <v>62</v>
      </c>
      <c r="C103" s="4"/>
      <c r="D103" s="4"/>
      <c r="F103" s="51" t="s">
        <v>238</v>
      </c>
      <c r="G103" s="34"/>
      <c r="H103" s="72">
        <v>1.52</v>
      </c>
      <c r="I103" s="72">
        <v>1.1399999999999999</v>
      </c>
      <c r="J103" s="72">
        <v>1.1399999999999999</v>
      </c>
      <c r="K103" s="111">
        <v>1</v>
      </c>
      <c r="L103" s="111">
        <v>0.499</v>
      </c>
      <c r="M103" s="72">
        <v>1.992</v>
      </c>
      <c r="N103" s="72">
        <v>1.992</v>
      </c>
      <c r="O103" s="72">
        <v>1.992</v>
      </c>
      <c r="P103" s="72">
        <v>0.99599999999999955</v>
      </c>
      <c r="Q103" s="72">
        <v>0.99600000000000044</v>
      </c>
      <c r="R103" s="72">
        <v>0.99600000000000044</v>
      </c>
      <c r="S103" s="72">
        <v>0.94799999999999862</v>
      </c>
      <c r="T103" s="72">
        <v>0.99600000000000222</v>
      </c>
      <c r="U103" s="72">
        <v>1.259999999999998</v>
      </c>
      <c r="V103" s="72">
        <v>1.9080000000000013</v>
      </c>
      <c r="W103" s="72">
        <v>1.9919999999999973</v>
      </c>
      <c r="X103" s="72">
        <v>1.9920000000000009</v>
      </c>
      <c r="Y103" s="72">
        <v>1.5049999999999999</v>
      </c>
      <c r="Z103" s="34"/>
      <c r="AA103" s="72">
        <v>1</v>
      </c>
      <c r="AB103" s="73">
        <v>0.51</v>
      </c>
      <c r="AC103" s="34"/>
      <c r="AD103" s="72">
        <v>0.499</v>
      </c>
      <c r="AE103" s="73">
        <v>1.01</v>
      </c>
    </row>
    <row r="104" spans="1:31" ht="18" customHeight="1" collapsed="1" x14ac:dyDescent="0.2">
      <c r="A104" s="30" t="s">
        <v>36</v>
      </c>
      <c r="B104" s="30" t="s">
        <v>18</v>
      </c>
      <c r="C104" s="4"/>
      <c r="D104" s="4"/>
      <c r="F104" s="97" t="s">
        <v>239</v>
      </c>
      <c r="H104" s="74">
        <v>37.26</v>
      </c>
      <c r="I104" s="74">
        <v>34.606999999999999</v>
      </c>
      <c r="J104" s="74">
        <v>34.606999999999999</v>
      </c>
      <c r="K104" s="112">
        <v>31.1</v>
      </c>
      <c r="L104" s="112">
        <v>30.774000000000001</v>
      </c>
      <c r="M104" s="74">
        <v>33.396000000000001</v>
      </c>
      <c r="N104" s="74">
        <v>31.308000000000007</v>
      </c>
      <c r="O104" s="74">
        <v>31.524000000000001</v>
      </c>
      <c r="P104" s="74">
        <v>28.463999999999999</v>
      </c>
      <c r="Q104" s="74">
        <v>28.536000000000001</v>
      </c>
      <c r="R104" s="74">
        <v>28.97999999999999</v>
      </c>
      <c r="S104" s="74">
        <v>31.907999999999987</v>
      </c>
      <c r="T104" s="74">
        <v>30.936000000000007</v>
      </c>
      <c r="U104" s="74">
        <v>31.319999999999965</v>
      </c>
      <c r="V104" s="74">
        <v>32.784000000000049</v>
      </c>
      <c r="W104" s="74">
        <v>34.079999999999984</v>
      </c>
      <c r="X104" s="74">
        <v>34.572000000000003</v>
      </c>
      <c r="Y104" s="74">
        <v>31.483999999999998</v>
      </c>
      <c r="AA104" s="74">
        <v>31.1</v>
      </c>
      <c r="AB104" s="73">
        <v>0.38</v>
      </c>
      <c r="AD104" s="74">
        <v>30.774000000000001</v>
      </c>
      <c r="AE104" s="73">
        <v>0.71</v>
      </c>
    </row>
    <row r="105" spans="1:31" ht="18" hidden="1" customHeight="1" outlineLevel="1" collapsed="1" x14ac:dyDescent="0.2">
      <c r="A105" s="33" t="s">
        <v>211</v>
      </c>
      <c r="B105" s="33" t="s">
        <v>18</v>
      </c>
      <c r="C105" s="4"/>
      <c r="D105" s="4"/>
      <c r="F105" s="98" t="s">
        <v>212</v>
      </c>
      <c r="G105" s="34"/>
      <c r="H105" s="75">
        <v>39.405000000000001</v>
      </c>
      <c r="I105" s="75">
        <v>36.776000000000003</v>
      </c>
      <c r="J105" s="75">
        <v>36.776000000000003</v>
      </c>
      <c r="K105" s="112">
        <v>31.1</v>
      </c>
      <c r="L105" s="112">
        <v>30.774000000000001</v>
      </c>
      <c r="M105" s="75">
        <v>33.576000000000001</v>
      </c>
      <c r="N105" s="75">
        <v>33.948</v>
      </c>
      <c r="O105" s="75">
        <v>33.420000000000016</v>
      </c>
      <c r="P105" s="75">
        <v>30.419999999999959</v>
      </c>
      <c r="Q105" s="75">
        <v>30.876000000000033</v>
      </c>
      <c r="R105" s="75">
        <v>31.043999999999983</v>
      </c>
      <c r="S105" s="75">
        <v>33.695999999999998</v>
      </c>
      <c r="T105" s="75">
        <v>33.828000000000003</v>
      </c>
      <c r="U105" s="75">
        <v>32.72399999999999</v>
      </c>
      <c r="V105" s="75">
        <v>34.164000000000044</v>
      </c>
      <c r="W105" s="75">
        <v>35.94</v>
      </c>
      <c r="X105" s="75">
        <v>35.783999999999935</v>
      </c>
      <c r="Y105" s="75">
        <v>33.284999999999997</v>
      </c>
      <c r="Z105" s="34"/>
      <c r="AA105" s="75">
        <v>31.1</v>
      </c>
      <c r="AB105" s="76">
        <v>2.19</v>
      </c>
      <c r="AC105" s="34"/>
      <c r="AD105" s="75">
        <v>30.774000000000001</v>
      </c>
      <c r="AE105" s="76">
        <v>2.5099999999999998</v>
      </c>
    </row>
    <row r="106" spans="1:31" ht="18" hidden="1" customHeight="1" outlineLevel="1" collapsed="1" x14ac:dyDescent="0.2">
      <c r="A106" s="35"/>
      <c r="B106" s="35"/>
      <c r="C106" s="4"/>
      <c r="D106" s="4"/>
      <c r="F106" s="97" t="s">
        <v>240</v>
      </c>
      <c r="H106" s="74">
        <v>2.1450000000000031</v>
      </c>
      <c r="I106" s="74">
        <v>2.169000000000004</v>
      </c>
      <c r="J106" s="74">
        <v>2.169000000000004</v>
      </c>
      <c r="K106" s="112">
        <v>0</v>
      </c>
      <c r="L106" s="112">
        <v>0</v>
      </c>
      <c r="M106" s="74">
        <v>0.17999999999999972</v>
      </c>
      <c r="N106" s="74">
        <v>2.6399999999999935</v>
      </c>
      <c r="O106" s="74">
        <v>1.896000000000015</v>
      </c>
      <c r="P106" s="74">
        <v>1.9559999999999604</v>
      </c>
      <c r="Q106" s="74">
        <v>2.3400000000000318</v>
      </c>
      <c r="R106" s="74">
        <v>2.063999999999993</v>
      </c>
      <c r="S106" s="74">
        <v>1.7880000000000109</v>
      </c>
      <c r="T106" s="74">
        <v>2.8919999999999959</v>
      </c>
      <c r="U106" s="74">
        <v>1.4040000000000248</v>
      </c>
      <c r="V106" s="74">
        <v>1.3799999999999955</v>
      </c>
      <c r="W106" s="74">
        <v>1.8600000000000136</v>
      </c>
      <c r="X106" s="74">
        <v>1.2119999999999322</v>
      </c>
      <c r="Y106" s="74">
        <v>1.8009999999999984</v>
      </c>
      <c r="AA106" s="74">
        <v>0</v>
      </c>
      <c r="AB106" s="73">
        <v>1.8</v>
      </c>
      <c r="AD106" s="74">
        <v>0</v>
      </c>
      <c r="AE106" s="73">
        <v>1.8</v>
      </c>
    </row>
    <row r="107" spans="1:31" ht="12.95" hidden="1" customHeight="1" outlineLevel="1" x14ac:dyDescent="0.2">
      <c r="A107" s="35"/>
      <c r="B107" s="35"/>
      <c r="C107" s="4"/>
      <c r="D107" s="4"/>
      <c r="F107" s="39" t="s">
        <v>37</v>
      </c>
      <c r="H107" s="68">
        <v>5.443471640654747E-2</v>
      </c>
      <c r="I107" s="68">
        <v>5.8978681748966824E-2</v>
      </c>
      <c r="J107" s="68">
        <v>5.8978681748966824E-2</v>
      </c>
      <c r="K107" s="113">
        <v>0</v>
      </c>
      <c r="L107" s="113">
        <v>0</v>
      </c>
      <c r="M107" s="68">
        <v>5.3609721229449523E-3</v>
      </c>
      <c r="N107" s="68">
        <v>7.7765995051254672E-2</v>
      </c>
      <c r="O107" s="68">
        <v>5.6732495511670082E-2</v>
      </c>
      <c r="P107" s="68">
        <v>6.4299802761340008E-2</v>
      </c>
      <c r="Q107" s="68">
        <v>7.578701904391856E-2</v>
      </c>
      <c r="R107" s="68">
        <v>6.6486277541553729E-2</v>
      </c>
      <c r="S107" s="68">
        <v>5.3062678062678392E-2</v>
      </c>
      <c r="T107" s="68">
        <v>8.5491308974813635E-2</v>
      </c>
      <c r="U107" s="68">
        <v>4.2904290429043673E-2</v>
      </c>
      <c r="V107" s="68">
        <v>4.0393396557779931E-2</v>
      </c>
      <c r="W107" s="68">
        <v>5.1752921535893538E-2</v>
      </c>
      <c r="X107" s="68">
        <v>3.3869885982560209E-2</v>
      </c>
      <c r="Y107" s="68">
        <v>5.4108457263031352E-2</v>
      </c>
      <c r="AA107" s="68">
        <v>0</v>
      </c>
      <c r="AB107" s="69"/>
      <c r="AD107" s="68">
        <v>0</v>
      </c>
      <c r="AE107" s="69"/>
    </row>
    <row r="108" spans="1:31" ht="18" customHeight="1" collapsed="1" x14ac:dyDescent="0.2">
      <c r="A108" s="30" t="s">
        <v>220</v>
      </c>
      <c r="B108" s="30" t="s">
        <v>18</v>
      </c>
      <c r="C108" s="4">
        <v>2.7829720466861867E-2</v>
      </c>
      <c r="D108" s="4">
        <v>-2.1522549042861498E-2</v>
      </c>
      <c r="F108" s="106" t="s">
        <v>66</v>
      </c>
      <c r="H108" s="61">
        <v>-1868.325</v>
      </c>
      <c r="I108" s="61">
        <v>-1641.7729999999999</v>
      </c>
      <c r="J108" s="61">
        <v>-1641.7729999999999</v>
      </c>
      <c r="K108" s="86">
        <v>-1578.8875800000001</v>
      </c>
      <c r="L108" s="86">
        <v>-1502.6101200000001</v>
      </c>
      <c r="M108" s="61">
        <v>-131.35499999999999</v>
      </c>
      <c r="N108" s="61">
        <v>-120.471</v>
      </c>
      <c r="O108" s="61">
        <v>-129.34700000000001</v>
      </c>
      <c r="P108" s="61">
        <v>-114.166</v>
      </c>
      <c r="Q108" s="61">
        <v>-114.40199999999999</v>
      </c>
      <c r="R108" s="61">
        <v>-139.44600000000003</v>
      </c>
      <c r="S108" s="61">
        <v>-121</v>
      </c>
      <c r="T108" s="61">
        <v>-120.77800000000002</v>
      </c>
      <c r="U108" s="61">
        <v>-135.3549999999999</v>
      </c>
      <c r="V108" s="61">
        <v>-129.05400000000009</v>
      </c>
      <c r="W108" s="61">
        <v>-133.68599999999992</v>
      </c>
      <c r="X108" s="61">
        <v>-145.88599999999997</v>
      </c>
      <c r="Y108" s="61">
        <v>-1534.9459999999999</v>
      </c>
      <c r="AA108" s="61">
        <v>-1578.8875799999998</v>
      </c>
      <c r="AB108" s="60">
        <v>43.94</v>
      </c>
      <c r="AD108" s="61">
        <v>-1502.6101200000001</v>
      </c>
      <c r="AE108" s="60">
        <v>-32.340000000000003</v>
      </c>
    </row>
    <row r="109" spans="1:31" ht="18" customHeight="1" x14ac:dyDescent="0.2">
      <c r="A109" s="30" t="s">
        <v>218</v>
      </c>
      <c r="B109" s="30" t="s">
        <v>18</v>
      </c>
      <c r="C109" s="4">
        <v>-0.99986303246130659</v>
      </c>
      <c r="D109" s="4">
        <v>-0.99986303246130659</v>
      </c>
      <c r="F109" s="104" t="s">
        <v>219</v>
      </c>
      <c r="G109" s="36"/>
      <c r="H109" s="65">
        <v>15.887</v>
      </c>
      <c r="I109" s="65">
        <v>3.8759999999999999</v>
      </c>
      <c r="J109" s="65">
        <v>3.8759999999999999</v>
      </c>
      <c r="K109" s="65">
        <v>0</v>
      </c>
      <c r="L109" s="65">
        <v>0</v>
      </c>
      <c r="M109" s="65">
        <v>-10.638999999999999</v>
      </c>
      <c r="N109" s="65">
        <v>-9.5280000000000022</v>
      </c>
      <c r="O109" s="65">
        <v>-0.84799999999999898</v>
      </c>
      <c r="P109" s="65">
        <v>-6.4890000000000008</v>
      </c>
      <c r="Q109" s="65">
        <v>8.6070000000000029</v>
      </c>
      <c r="R109" s="65">
        <v>1.407</v>
      </c>
      <c r="S109" s="65">
        <v>4.3609999999999989</v>
      </c>
      <c r="T109" s="65">
        <v>18.341999999999999</v>
      </c>
      <c r="U109" s="65">
        <v>7.5020000000000007</v>
      </c>
      <c r="V109" s="65">
        <v>-3.8320000000000007</v>
      </c>
      <c r="W109" s="65">
        <v>-9.0020000000000007</v>
      </c>
      <c r="X109" s="65">
        <v>-7.1819999999999986</v>
      </c>
      <c r="Y109" s="65">
        <v>-7.3010000000000002</v>
      </c>
      <c r="Z109" s="36"/>
      <c r="AA109" s="65">
        <v>0</v>
      </c>
      <c r="AB109" s="60">
        <v>-7.3</v>
      </c>
      <c r="AC109" s="36"/>
      <c r="AD109" s="65">
        <v>0</v>
      </c>
      <c r="AE109" s="60">
        <v>-7.3</v>
      </c>
    </row>
    <row r="110" spans="1:31" ht="18" customHeight="1" x14ac:dyDescent="0.2">
      <c r="A110" s="30" t="s">
        <v>34</v>
      </c>
      <c r="B110" s="30" t="s">
        <v>18</v>
      </c>
      <c r="C110" s="4">
        <v>1.0001604106512674</v>
      </c>
      <c r="D110" s="4">
        <v>1.0001604106512674</v>
      </c>
      <c r="F110" s="106" t="s">
        <v>57</v>
      </c>
      <c r="H110" s="61">
        <v>12.468</v>
      </c>
      <c r="I110" s="61">
        <v>12.468</v>
      </c>
      <c r="J110" s="61">
        <v>12.468</v>
      </c>
      <c r="K110" s="86">
        <v>0</v>
      </c>
      <c r="L110" s="86">
        <v>0</v>
      </c>
      <c r="M110" s="61">
        <v>1.0389999999999999</v>
      </c>
      <c r="N110" s="61">
        <v>1.0389999999999999</v>
      </c>
      <c r="O110" s="61">
        <v>1.0390000000000001</v>
      </c>
      <c r="P110" s="61">
        <v>1.0389999999999997</v>
      </c>
      <c r="Q110" s="61">
        <v>1.0390000000000006</v>
      </c>
      <c r="R110" s="61">
        <v>1.0389999999999997</v>
      </c>
      <c r="S110" s="61">
        <v>1.0389999999999997</v>
      </c>
      <c r="T110" s="61">
        <v>1.0389999999999997</v>
      </c>
      <c r="U110" s="61">
        <v>1.0390000000000015</v>
      </c>
      <c r="V110" s="61">
        <v>1.0389999999999997</v>
      </c>
      <c r="W110" s="61">
        <v>1.0389999999999997</v>
      </c>
      <c r="X110" s="61">
        <v>1.0389999999999997</v>
      </c>
      <c r="Y110" s="61">
        <v>12.468</v>
      </c>
      <c r="AA110" s="61">
        <v>0</v>
      </c>
      <c r="AB110" s="60">
        <v>12.47</v>
      </c>
      <c r="AD110" s="61">
        <v>0</v>
      </c>
      <c r="AE110" s="60">
        <v>12.47</v>
      </c>
    </row>
    <row r="111" spans="1:31" ht="18" customHeight="1" x14ac:dyDescent="0.2">
      <c r="A111" s="30" t="s">
        <v>221</v>
      </c>
      <c r="B111" s="30" t="s">
        <v>18</v>
      </c>
      <c r="C111" s="4">
        <v>0.99813432835820892</v>
      </c>
      <c r="D111" s="4">
        <v>0</v>
      </c>
      <c r="F111" s="106" t="s">
        <v>379</v>
      </c>
      <c r="H111" s="61">
        <v>0.71699999999999997</v>
      </c>
      <c r="I111" s="61">
        <v>0.60399999999999998</v>
      </c>
      <c r="J111" s="61">
        <v>0.60399999999999998</v>
      </c>
      <c r="K111" s="86">
        <v>0</v>
      </c>
      <c r="L111" s="86">
        <v>1.07</v>
      </c>
      <c r="M111" s="61">
        <v>0</v>
      </c>
      <c r="N111" s="61">
        <v>0</v>
      </c>
      <c r="O111" s="61">
        <v>0</v>
      </c>
      <c r="P111" s="61">
        <v>0</v>
      </c>
      <c r="Q111" s="61">
        <v>0</v>
      </c>
      <c r="R111" s="61">
        <v>0.47299999999999998</v>
      </c>
      <c r="S111" s="61">
        <v>0</v>
      </c>
      <c r="T111" s="61">
        <v>0.59900000000000009</v>
      </c>
      <c r="U111" s="61">
        <v>0</v>
      </c>
      <c r="V111" s="61">
        <v>0</v>
      </c>
      <c r="W111" s="61">
        <v>0</v>
      </c>
      <c r="X111" s="61">
        <v>0</v>
      </c>
      <c r="Y111" s="61">
        <v>1.0720000000000001</v>
      </c>
      <c r="AA111" s="61">
        <v>0</v>
      </c>
      <c r="AB111" s="60">
        <v>1.07</v>
      </c>
      <c r="AD111" s="61">
        <v>1.07</v>
      </c>
      <c r="AE111" s="60">
        <v>0</v>
      </c>
    </row>
    <row r="112" spans="1:31" ht="18" customHeight="1" x14ac:dyDescent="0.2">
      <c r="A112" s="30" t="s">
        <v>430</v>
      </c>
      <c r="B112" s="30" t="s">
        <v>18</v>
      </c>
      <c r="C112" s="4">
        <v>0</v>
      </c>
      <c r="D112" s="4">
        <v>0</v>
      </c>
      <c r="F112" s="106" t="s">
        <v>431</v>
      </c>
      <c r="H112" s="61">
        <v>-1.482</v>
      </c>
      <c r="I112" s="61">
        <v>0</v>
      </c>
      <c r="J112" s="61">
        <v>0</v>
      </c>
      <c r="K112" s="86">
        <v>0</v>
      </c>
      <c r="L112" s="86">
        <v>0</v>
      </c>
      <c r="M112" s="61">
        <v>0</v>
      </c>
      <c r="N112" s="61">
        <v>0</v>
      </c>
      <c r="O112" s="61">
        <v>0</v>
      </c>
      <c r="P112" s="61">
        <v>0</v>
      </c>
      <c r="Q112" s="61">
        <v>0</v>
      </c>
      <c r="R112" s="61">
        <v>0</v>
      </c>
      <c r="S112" s="61">
        <v>0</v>
      </c>
      <c r="T112" s="61">
        <v>0</v>
      </c>
      <c r="U112" s="61">
        <v>0</v>
      </c>
      <c r="V112" s="61">
        <v>0</v>
      </c>
      <c r="W112" s="61">
        <v>0</v>
      </c>
      <c r="X112" s="61">
        <v>0</v>
      </c>
      <c r="Y112" s="61">
        <v>0</v>
      </c>
      <c r="AA112" s="61">
        <v>0</v>
      </c>
      <c r="AB112" s="60">
        <v>0</v>
      </c>
      <c r="AD112" s="61">
        <v>0</v>
      </c>
      <c r="AE112" s="60">
        <v>0</v>
      </c>
    </row>
    <row r="113" spans="1:31" ht="18" customHeight="1" x14ac:dyDescent="0.2">
      <c r="A113" s="30" t="s">
        <v>35</v>
      </c>
      <c r="B113" s="30" t="s">
        <v>18</v>
      </c>
      <c r="C113" s="4">
        <v>-4.3</v>
      </c>
      <c r="D113" s="4">
        <v>3.6363636363636369E-2</v>
      </c>
      <c r="F113" s="106" t="s">
        <v>67</v>
      </c>
      <c r="H113" s="61">
        <v>0</v>
      </c>
      <c r="I113" s="61">
        <v>-3.7389999999999999</v>
      </c>
      <c r="J113" s="61">
        <v>-3.7389999999999999</v>
      </c>
      <c r="K113" s="86">
        <v>-1</v>
      </c>
      <c r="L113" s="86">
        <v>-5.5</v>
      </c>
      <c r="M113" s="61">
        <v>-0.40100000000000002</v>
      </c>
      <c r="N113" s="61">
        <v>-0.45199999999999996</v>
      </c>
      <c r="O113" s="61">
        <v>-0.55499999999999994</v>
      </c>
      <c r="P113" s="61">
        <v>-0.41400000000000015</v>
      </c>
      <c r="Q113" s="61">
        <v>-6.0000000000000053E-3</v>
      </c>
      <c r="R113" s="61">
        <v>-0.87200000000000011</v>
      </c>
      <c r="S113" s="61">
        <v>-0.4139999999999997</v>
      </c>
      <c r="T113" s="61">
        <v>-0.41500000000000004</v>
      </c>
      <c r="U113" s="61">
        <v>-0.33300000000000018</v>
      </c>
      <c r="V113" s="61">
        <v>-0.42999999999999972</v>
      </c>
      <c r="W113" s="61">
        <v>-0.37300000000000022</v>
      </c>
      <c r="X113" s="61">
        <v>-0.63199999999999967</v>
      </c>
      <c r="Y113" s="61">
        <v>-5.2969999999999997</v>
      </c>
      <c r="AA113" s="61">
        <v>-1</v>
      </c>
      <c r="AB113" s="60">
        <v>-4.3</v>
      </c>
      <c r="AD113" s="61">
        <v>-5.5</v>
      </c>
      <c r="AE113" s="60">
        <v>0.2</v>
      </c>
    </row>
    <row r="114" spans="1:31" ht="18" hidden="1" customHeight="1" outlineLevel="1" collapsed="1" x14ac:dyDescent="0.2">
      <c r="A114" s="35"/>
      <c r="B114" s="35"/>
      <c r="C114" s="4"/>
      <c r="D114" s="4"/>
      <c r="F114" s="97" t="s">
        <v>453</v>
      </c>
      <c r="H114" s="74">
        <v>0</v>
      </c>
      <c r="I114" s="74">
        <v>0</v>
      </c>
      <c r="J114" s="74">
        <v>0</v>
      </c>
      <c r="K114" s="112">
        <v>0</v>
      </c>
      <c r="L114" s="112">
        <v>0</v>
      </c>
      <c r="M114" s="74">
        <v>0</v>
      </c>
      <c r="N114" s="74">
        <v>0</v>
      </c>
      <c r="O114" s="74">
        <v>0</v>
      </c>
      <c r="P114" s="74">
        <v>0</v>
      </c>
      <c r="Q114" s="74">
        <v>0</v>
      </c>
      <c r="R114" s="74">
        <v>0</v>
      </c>
      <c r="S114" s="74">
        <v>0</v>
      </c>
      <c r="T114" s="74">
        <v>0</v>
      </c>
      <c r="U114" s="74">
        <v>0</v>
      </c>
      <c r="V114" s="74">
        <v>0</v>
      </c>
      <c r="W114" s="74">
        <v>0</v>
      </c>
      <c r="X114" s="74">
        <v>0</v>
      </c>
      <c r="Y114" s="74">
        <v>0</v>
      </c>
      <c r="AA114" s="74">
        <v>0</v>
      </c>
      <c r="AB114" s="73">
        <v>0</v>
      </c>
      <c r="AD114" s="74">
        <v>0</v>
      </c>
      <c r="AE114" s="73">
        <v>0</v>
      </c>
    </row>
    <row r="115" spans="1:31" ht="18" customHeight="1" collapsed="1" x14ac:dyDescent="0.2">
      <c r="A115" s="30" t="s">
        <v>20</v>
      </c>
      <c r="B115" s="30" t="s">
        <v>18</v>
      </c>
      <c r="C115" s="4">
        <v>0</v>
      </c>
      <c r="D115" s="4">
        <v>0</v>
      </c>
      <c r="F115" s="106" t="s">
        <v>68</v>
      </c>
      <c r="H115" s="61">
        <v>0</v>
      </c>
      <c r="I115" s="61">
        <v>0</v>
      </c>
      <c r="J115" s="61">
        <v>0</v>
      </c>
      <c r="K115" s="86">
        <v>0</v>
      </c>
      <c r="L115" s="86">
        <v>0</v>
      </c>
      <c r="M115" s="61">
        <v>0</v>
      </c>
      <c r="N115" s="61">
        <v>0</v>
      </c>
      <c r="O115" s="61">
        <v>0</v>
      </c>
      <c r="P115" s="61">
        <v>0</v>
      </c>
      <c r="Q115" s="61">
        <v>0</v>
      </c>
      <c r="R115" s="61">
        <v>0</v>
      </c>
      <c r="S115" s="61">
        <v>0</v>
      </c>
      <c r="T115" s="61">
        <v>0</v>
      </c>
      <c r="U115" s="61">
        <v>0</v>
      </c>
      <c r="V115" s="61">
        <v>0</v>
      </c>
      <c r="W115" s="61">
        <v>0</v>
      </c>
      <c r="X115" s="61">
        <v>0</v>
      </c>
      <c r="Y115" s="61">
        <v>0</v>
      </c>
      <c r="AA115" s="61">
        <v>0</v>
      </c>
      <c r="AB115" s="60">
        <v>0</v>
      </c>
      <c r="AD115" s="61">
        <v>0</v>
      </c>
      <c r="AE115" s="60">
        <v>0</v>
      </c>
    </row>
    <row r="116" spans="1:31" ht="18" customHeight="1" x14ac:dyDescent="0.2">
      <c r="A116" s="35"/>
      <c r="B116" s="35"/>
      <c r="C116" s="4">
        <v>2.9040040937596337E-2</v>
      </c>
      <c r="D116" s="4">
        <v>-1.7889371120391934E-2</v>
      </c>
      <c r="F116" s="95" t="s">
        <v>275</v>
      </c>
      <c r="H116" s="198">
        <v>-1840.7349999999999</v>
      </c>
      <c r="I116" s="198">
        <v>-1628.5639999999999</v>
      </c>
      <c r="J116" s="198">
        <v>-1628.5639999999999</v>
      </c>
      <c r="K116" s="89">
        <v>-1579.8875800000001</v>
      </c>
      <c r="L116" s="89">
        <v>-1507.0401200000001</v>
      </c>
      <c r="M116" s="64">
        <v>-141.35600000000002</v>
      </c>
      <c r="N116" s="64">
        <v>-129.41200000000001</v>
      </c>
      <c r="O116" s="64">
        <v>-129.71100000000001</v>
      </c>
      <c r="P116" s="64">
        <v>-120.03</v>
      </c>
      <c r="Q116" s="64">
        <v>-104.76199999999999</v>
      </c>
      <c r="R116" s="64">
        <v>-137.39900000000003</v>
      </c>
      <c r="S116" s="64">
        <v>-116.014</v>
      </c>
      <c r="T116" s="64">
        <v>-101.21300000000002</v>
      </c>
      <c r="U116" s="64">
        <v>-127.14699999999991</v>
      </c>
      <c r="V116" s="64">
        <v>-132.2770000000001</v>
      </c>
      <c r="W116" s="64">
        <v>-142.02199999999993</v>
      </c>
      <c r="X116" s="64">
        <v>-152.66099999999997</v>
      </c>
      <c r="Y116" s="64">
        <v>-1534.0039999999999</v>
      </c>
      <c r="AA116" s="64">
        <v>-1579.8875799999998</v>
      </c>
      <c r="AB116" s="60">
        <v>45.88</v>
      </c>
      <c r="AD116" s="64">
        <v>-1507.0401200000003</v>
      </c>
      <c r="AE116" s="60">
        <v>-26.96</v>
      </c>
    </row>
    <row r="117" spans="1:31" ht="12.95" customHeight="1" x14ac:dyDescent="0.2">
      <c r="A117" s="35"/>
      <c r="B117" s="35"/>
      <c r="C117" s="4"/>
      <c r="D117" s="4"/>
      <c r="F117" s="39" t="s">
        <v>223</v>
      </c>
      <c r="H117" s="56">
        <v>0.27196158480838201</v>
      </c>
      <c r="I117" s="56">
        <v>0.23850498036237269</v>
      </c>
      <c r="J117" s="56">
        <v>0.23850498036237269</v>
      </c>
      <c r="K117" s="109">
        <v>0.24666384180041195</v>
      </c>
      <c r="L117" s="109">
        <v>0.23590262912507501</v>
      </c>
      <c r="M117" s="56">
        <v>0.27078967230763928</v>
      </c>
      <c r="N117" s="56">
        <v>0.22531356422059884</v>
      </c>
      <c r="O117" s="56">
        <v>0.24589623186977136</v>
      </c>
      <c r="P117" s="56">
        <v>0.18959090191123049</v>
      </c>
      <c r="Q117" s="56">
        <v>0.19467063086500042</v>
      </c>
      <c r="R117" s="56">
        <v>0.24547414909715251</v>
      </c>
      <c r="S117" s="56">
        <v>0.22650888451979068</v>
      </c>
      <c r="T117" s="56">
        <v>0.19129059205527832</v>
      </c>
      <c r="U117" s="56">
        <v>0.23291176804627928</v>
      </c>
      <c r="V117" s="56">
        <v>0.26178639424009353</v>
      </c>
      <c r="W117" s="56">
        <v>0.24370915929932474</v>
      </c>
      <c r="X117" s="56">
        <v>0.26073478701219271</v>
      </c>
      <c r="Y117" s="56">
        <v>0.23187705650529836</v>
      </c>
      <c r="AA117" s="56">
        <v>0.24666384180041193</v>
      </c>
      <c r="AB117" s="57"/>
      <c r="AD117" s="56">
        <v>0.23590262912507504</v>
      </c>
      <c r="AE117" s="57"/>
    </row>
    <row r="118" spans="1:31" ht="6.95" customHeight="1" x14ac:dyDescent="0.2">
      <c r="C118" s="4"/>
      <c r="D118" s="4"/>
      <c r="F118" s="99"/>
      <c r="H118" s="16"/>
      <c r="I118" s="16"/>
      <c r="J118" s="16"/>
      <c r="K118" s="85"/>
      <c r="L118" s="85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AA118" s="16"/>
      <c r="AB118" s="20"/>
      <c r="AD118" s="16"/>
      <c r="AE118" s="20"/>
    </row>
    <row r="119" spans="1:31" ht="18" customHeight="1" x14ac:dyDescent="0.2">
      <c r="A119" s="30" t="s">
        <v>70</v>
      </c>
      <c r="B119" s="30" t="s">
        <v>18</v>
      </c>
      <c r="C119" s="4"/>
      <c r="D119" s="4"/>
      <c r="F119" s="97" t="s">
        <v>225</v>
      </c>
      <c r="H119" s="74">
        <v>38.710999999999999</v>
      </c>
      <c r="I119" s="74">
        <v>36.118000000000002</v>
      </c>
      <c r="J119" s="74">
        <v>36.118000000000002</v>
      </c>
      <c r="K119" s="112">
        <v>38</v>
      </c>
      <c r="L119" s="112">
        <v>39</v>
      </c>
      <c r="M119" s="74">
        <v>30.263999999999996</v>
      </c>
      <c r="N119" s="74">
        <v>31.872</v>
      </c>
      <c r="O119" s="74">
        <v>32.040000000000006</v>
      </c>
      <c r="P119" s="74">
        <v>32.004000000000005</v>
      </c>
      <c r="Q119" s="74">
        <v>31.99199999999999</v>
      </c>
      <c r="R119" s="74">
        <v>32.004000000000019</v>
      </c>
      <c r="S119" s="74">
        <v>32.999999999999972</v>
      </c>
      <c r="T119" s="74">
        <v>33</v>
      </c>
      <c r="U119" s="74">
        <v>32.004000000000019</v>
      </c>
      <c r="V119" s="74">
        <v>34.151999999999987</v>
      </c>
      <c r="W119" s="74">
        <v>33.984000000000037</v>
      </c>
      <c r="X119" s="74">
        <v>35.003999999999962</v>
      </c>
      <c r="Y119" s="74">
        <v>32.61</v>
      </c>
      <c r="AA119" s="74">
        <v>38</v>
      </c>
      <c r="AB119" s="73">
        <v>-5.39</v>
      </c>
      <c r="AD119" s="74">
        <v>39</v>
      </c>
      <c r="AE119" s="73">
        <v>-6.39</v>
      </c>
    </row>
    <row r="120" spans="1:31" ht="12.95" customHeight="1" x14ac:dyDescent="0.2">
      <c r="A120" s="35"/>
      <c r="B120" s="35"/>
      <c r="C120" s="4"/>
      <c r="D120" s="4"/>
      <c r="F120" s="39" t="s">
        <v>71</v>
      </c>
      <c r="H120" s="132">
        <v>-5809.3306812017263</v>
      </c>
      <c r="I120" s="132">
        <v>-5279.5282130793503</v>
      </c>
      <c r="J120" s="132">
        <v>-5279.5282130793503</v>
      </c>
      <c r="K120" s="133">
        <v>-4863.1578947368416</v>
      </c>
      <c r="L120" s="133">
        <v>-5923.0769230769229</v>
      </c>
      <c r="M120" s="132">
        <v>-664.98149616706326</v>
      </c>
      <c r="N120" s="132">
        <v>-567.08082329317256</v>
      </c>
      <c r="O120" s="132">
        <v>-736.76654182272159</v>
      </c>
      <c r="P120" s="132">
        <v>-757.62404699412559</v>
      </c>
      <c r="Q120" s="132">
        <v>-726.83795948987245</v>
      </c>
      <c r="R120" s="132">
        <v>-420.63492063492055</v>
      </c>
      <c r="S120" s="132">
        <v>-350.03030303030346</v>
      </c>
      <c r="T120" s="132">
        <v>-268.51515151515133</v>
      </c>
      <c r="U120" s="132">
        <v>-1129.4838145231838</v>
      </c>
      <c r="V120" s="132">
        <v>-390.22604825486076</v>
      </c>
      <c r="W120" s="132">
        <v>-806.67372881355845</v>
      </c>
      <c r="X120" s="132">
        <v>-543.90926751228483</v>
      </c>
      <c r="Y120" s="132">
        <v>-7332.3213738117147</v>
      </c>
      <c r="AA120" s="132">
        <v>-4863.1578947368416</v>
      </c>
      <c r="AB120" s="134">
        <v>-2469.16</v>
      </c>
      <c r="AD120" s="132">
        <v>-5923.0769230769229</v>
      </c>
      <c r="AE120" s="134">
        <v>-1409.24</v>
      </c>
    </row>
    <row r="121" spans="1:31" ht="18" customHeight="1" x14ac:dyDescent="0.2">
      <c r="A121" s="30" t="s">
        <v>63</v>
      </c>
      <c r="B121" s="30" t="s">
        <v>18</v>
      </c>
      <c r="C121" s="4">
        <v>-0.23504604194072584</v>
      </c>
      <c r="D121" s="4">
        <v>6.0763888888888881E-2</v>
      </c>
      <c r="F121" s="106" t="s">
        <v>401</v>
      </c>
      <c r="H121" s="61">
        <v>-72.55</v>
      </c>
      <c r="I121" s="61">
        <v>-64.884</v>
      </c>
      <c r="J121" s="61">
        <v>-64.884</v>
      </c>
      <c r="K121" s="86">
        <v>-51.692</v>
      </c>
      <c r="L121" s="86">
        <v>-67.968000000000004</v>
      </c>
      <c r="M121" s="61">
        <v>-5.0439999999999996</v>
      </c>
      <c r="N121" s="61">
        <v>-3.1960000000000006</v>
      </c>
      <c r="O121" s="61">
        <v>-4.4559999999999995</v>
      </c>
      <c r="P121" s="61">
        <v>-7.0520000000000014</v>
      </c>
      <c r="Q121" s="61">
        <v>-5.5269999999999975</v>
      </c>
      <c r="R121" s="61">
        <v>-5.5259999999999998</v>
      </c>
      <c r="S121" s="61">
        <v>-5.5180000000000042</v>
      </c>
      <c r="T121" s="61">
        <v>-5.2650000000000006</v>
      </c>
      <c r="U121" s="61">
        <v>-5.8389999999999986</v>
      </c>
      <c r="V121" s="61">
        <v>-5.6769999999999996</v>
      </c>
      <c r="W121" s="61">
        <v>-5.7280000000000015</v>
      </c>
      <c r="X121" s="61">
        <v>-5.0129999999999981</v>
      </c>
      <c r="Y121" s="61">
        <v>-63.841000000000001</v>
      </c>
      <c r="AA121" s="61">
        <v>-51.692</v>
      </c>
      <c r="AB121" s="60">
        <v>-12.15</v>
      </c>
      <c r="AD121" s="61">
        <v>-67.968000000000004</v>
      </c>
      <c r="AE121" s="60">
        <v>4.13</v>
      </c>
    </row>
    <row r="122" spans="1:31" ht="18" customHeight="1" x14ac:dyDescent="0.2">
      <c r="A122" s="30" t="s">
        <v>148</v>
      </c>
      <c r="B122" s="30" t="s">
        <v>18</v>
      </c>
      <c r="C122" s="4">
        <v>-1.000386249517188</v>
      </c>
      <c r="D122" s="4">
        <v>-1.000386249517188</v>
      </c>
      <c r="F122" s="106" t="s">
        <v>149</v>
      </c>
      <c r="H122" s="61">
        <v>0</v>
      </c>
      <c r="I122" s="61">
        <v>-0.64200000000000002</v>
      </c>
      <c r="J122" s="61">
        <v>-0.64200000000000002</v>
      </c>
      <c r="K122" s="86">
        <v>0</v>
      </c>
      <c r="L122" s="86">
        <v>0</v>
      </c>
      <c r="M122" s="61">
        <v>0</v>
      </c>
      <c r="N122" s="61">
        <v>0</v>
      </c>
      <c r="O122" s="61">
        <v>0</v>
      </c>
      <c r="P122" s="61">
        <v>0</v>
      </c>
      <c r="Q122" s="61">
        <v>0</v>
      </c>
      <c r="R122" s="61">
        <v>0</v>
      </c>
      <c r="S122" s="61">
        <v>0</v>
      </c>
      <c r="T122" s="61">
        <v>0</v>
      </c>
      <c r="U122" s="61">
        <v>0</v>
      </c>
      <c r="V122" s="61">
        <v>0</v>
      </c>
      <c r="W122" s="61">
        <v>-1.4930000000000001</v>
      </c>
      <c r="X122" s="61">
        <v>-1.0959999999999999</v>
      </c>
      <c r="Y122" s="61">
        <v>-2.589</v>
      </c>
      <c r="AA122" s="61">
        <v>0</v>
      </c>
      <c r="AB122" s="60">
        <v>-2.59</v>
      </c>
      <c r="AD122" s="61">
        <v>0</v>
      </c>
      <c r="AE122" s="60">
        <v>-2.59</v>
      </c>
    </row>
    <row r="123" spans="1:31" ht="18" customHeight="1" x14ac:dyDescent="0.2">
      <c r="A123" s="30" t="s">
        <v>64</v>
      </c>
      <c r="B123" s="30" t="s">
        <v>18</v>
      </c>
      <c r="C123" s="4">
        <v>-0.24010875514203492</v>
      </c>
      <c r="D123" s="4">
        <v>-3.5070140280561116E-2</v>
      </c>
      <c r="F123" s="106" t="s">
        <v>202</v>
      </c>
      <c r="H123" s="61">
        <v>-65.98</v>
      </c>
      <c r="I123" s="61">
        <v>-78.17</v>
      </c>
      <c r="J123" s="61">
        <v>-78.17</v>
      </c>
      <c r="K123" s="86">
        <v>-56.640999999999998</v>
      </c>
      <c r="L123" s="86">
        <v>-67.864000000000004</v>
      </c>
      <c r="M123" s="61">
        <v>-6.3540000000000001</v>
      </c>
      <c r="N123" s="61">
        <v>-6.7499999999999991</v>
      </c>
      <c r="O123" s="61">
        <v>-5.0180000000000007</v>
      </c>
      <c r="P123" s="61">
        <v>-5.5150000000000006</v>
      </c>
      <c r="Q123" s="61">
        <v>-4.0399999999999991</v>
      </c>
      <c r="R123" s="61">
        <v>-5.9200000000000017</v>
      </c>
      <c r="S123" s="61">
        <v>-6.6129999999999995</v>
      </c>
      <c r="T123" s="61">
        <v>-3.6479999999999961</v>
      </c>
      <c r="U123" s="61">
        <v>-6.169000000000004</v>
      </c>
      <c r="V123" s="61">
        <v>-5.9889999999999972</v>
      </c>
      <c r="W123" s="61">
        <v>-7.8010000000000019</v>
      </c>
      <c r="X123" s="61">
        <v>-6.4259999999999948</v>
      </c>
      <c r="Y123" s="61">
        <v>-70.242999999999995</v>
      </c>
      <c r="AA123" s="61">
        <v>-56.640999999999998</v>
      </c>
      <c r="AB123" s="60">
        <v>-13.6</v>
      </c>
      <c r="AD123" s="61">
        <v>-67.864000000000004</v>
      </c>
      <c r="AE123" s="60">
        <v>-2.38</v>
      </c>
    </row>
    <row r="124" spans="1:31" ht="18" hidden="1" customHeight="1" outlineLevel="1" x14ac:dyDescent="0.2">
      <c r="A124" s="30" t="s">
        <v>150</v>
      </c>
      <c r="B124" s="30" t="s">
        <v>18</v>
      </c>
      <c r="C124" s="4">
        <v>-10.241090146750523</v>
      </c>
      <c r="D124" s="4">
        <v>-0.44953977646285337</v>
      </c>
      <c r="F124" s="38" t="s">
        <v>151</v>
      </c>
      <c r="G124" s="34"/>
      <c r="H124" s="66">
        <v>-14.651</v>
      </c>
      <c r="I124" s="66">
        <v>-8.9369999999999994</v>
      </c>
      <c r="J124" s="66">
        <v>-8.9369999999999994</v>
      </c>
      <c r="K124" s="86">
        <v>1.9079999999999999</v>
      </c>
      <c r="L124" s="86">
        <v>-12.167999999999999</v>
      </c>
      <c r="M124" s="66">
        <v>-1.6519999999999999</v>
      </c>
      <c r="N124" s="66">
        <v>-0.53700000000000014</v>
      </c>
      <c r="O124" s="66">
        <v>-1.004</v>
      </c>
      <c r="P124" s="66">
        <v>-3.2979999999999996</v>
      </c>
      <c r="Q124" s="66">
        <v>-0.93100000000000005</v>
      </c>
      <c r="R124" s="66">
        <v>-0.50300000000000011</v>
      </c>
      <c r="S124" s="66">
        <v>-0.37900000000000045</v>
      </c>
      <c r="T124" s="66">
        <v>-0.2289999999999992</v>
      </c>
      <c r="U124" s="66">
        <v>-0.84700000000000131</v>
      </c>
      <c r="V124" s="66">
        <v>-0.31099999999999994</v>
      </c>
      <c r="W124" s="66">
        <v>-4.9409999999999989</v>
      </c>
      <c r="X124" s="66">
        <v>-3.0030000000000019</v>
      </c>
      <c r="Y124" s="66">
        <v>-17.635000000000002</v>
      </c>
      <c r="Z124" s="34"/>
      <c r="AA124" s="66">
        <v>1.9080000000000001</v>
      </c>
      <c r="AB124" s="60">
        <v>-19.54</v>
      </c>
      <c r="AC124" s="34"/>
      <c r="AD124" s="66">
        <v>-12.167999999999999</v>
      </c>
      <c r="AE124" s="60">
        <v>-5.47</v>
      </c>
    </row>
    <row r="125" spans="1:31" ht="18" hidden="1" customHeight="1" outlineLevel="1" x14ac:dyDescent="0.2">
      <c r="A125" s="30" t="s">
        <v>168</v>
      </c>
      <c r="B125" s="30" t="s">
        <v>18</v>
      </c>
      <c r="C125" s="4">
        <v>0.33418295100538092</v>
      </c>
      <c r="D125" s="4">
        <v>0.31333444592790388</v>
      </c>
      <c r="F125" s="38" t="s">
        <v>169</v>
      </c>
      <c r="G125" s="34"/>
      <c r="H125" s="66">
        <v>-18.664999999999999</v>
      </c>
      <c r="I125" s="66">
        <v>-16.881</v>
      </c>
      <c r="J125" s="66">
        <v>-16.881</v>
      </c>
      <c r="K125" s="86">
        <v>-24.716999999999999</v>
      </c>
      <c r="L125" s="86">
        <v>-23.968</v>
      </c>
      <c r="M125" s="66">
        <v>-1.159</v>
      </c>
      <c r="N125" s="66">
        <v>-1.2969999999999999</v>
      </c>
      <c r="O125" s="66">
        <v>-1.1829999999999998</v>
      </c>
      <c r="P125" s="66">
        <v>-1.3649999999999998</v>
      </c>
      <c r="Q125" s="66">
        <v>-1.5520000000000005</v>
      </c>
      <c r="R125" s="66">
        <v>-1.3419999999999996</v>
      </c>
      <c r="S125" s="66">
        <v>-1.3819999999999997</v>
      </c>
      <c r="T125" s="66">
        <v>-1.2780000000000005</v>
      </c>
      <c r="U125" s="66">
        <v>-1.3919999999999995</v>
      </c>
      <c r="V125" s="66">
        <v>-1.3690000000000015</v>
      </c>
      <c r="W125" s="66">
        <v>-1.4139999999999997</v>
      </c>
      <c r="X125" s="66">
        <v>-1.7210000000000001</v>
      </c>
      <c r="Y125" s="66">
        <v>-16.454000000000001</v>
      </c>
      <c r="Z125" s="34"/>
      <c r="AA125" s="66">
        <v>-24.716999999999999</v>
      </c>
      <c r="AB125" s="60">
        <v>8.26</v>
      </c>
      <c r="AC125" s="34"/>
      <c r="AD125" s="66">
        <v>-23.968</v>
      </c>
      <c r="AE125" s="60">
        <v>7.51</v>
      </c>
    </row>
    <row r="126" spans="1:31" ht="18" hidden="1" customHeight="1" outlineLevel="1" x14ac:dyDescent="0.2">
      <c r="A126" s="30" t="s">
        <v>170</v>
      </c>
      <c r="B126" s="30" t="s">
        <v>18</v>
      </c>
      <c r="C126" s="4">
        <v>-0.3546831955922865</v>
      </c>
      <c r="D126" s="4">
        <v>-0.18546441495778043</v>
      </c>
      <c r="F126" s="38" t="s">
        <v>171</v>
      </c>
      <c r="G126" s="34"/>
      <c r="H126" s="66">
        <v>-4.266</v>
      </c>
      <c r="I126" s="66">
        <v>-4.1660000000000004</v>
      </c>
      <c r="J126" s="66">
        <v>-4.1660000000000004</v>
      </c>
      <c r="K126" s="86">
        <v>-5.8079999999999998</v>
      </c>
      <c r="L126" s="86">
        <v>-6.6319999999999997</v>
      </c>
      <c r="M126" s="66">
        <v>-2.5030000000000001</v>
      </c>
      <c r="N126" s="66">
        <v>-0.63499999999999979</v>
      </c>
      <c r="O126" s="66">
        <v>-0.98200000000000021</v>
      </c>
      <c r="P126" s="66">
        <v>-0.33499999999999996</v>
      </c>
      <c r="Q126" s="66">
        <v>-0.72799999999999976</v>
      </c>
      <c r="R126" s="66">
        <v>-0.51200000000000045</v>
      </c>
      <c r="S126" s="66">
        <v>-0.28699999999999992</v>
      </c>
      <c r="T126" s="66">
        <v>0</v>
      </c>
      <c r="U126" s="66">
        <v>-0.27799999999999958</v>
      </c>
      <c r="V126" s="66">
        <v>-0.91600000000000037</v>
      </c>
      <c r="W126" s="66">
        <v>-0.5129999999999999</v>
      </c>
      <c r="X126" s="66">
        <v>-0.17499999999999982</v>
      </c>
      <c r="Y126" s="66">
        <v>-7.8639999999999999</v>
      </c>
      <c r="Z126" s="34"/>
      <c r="AA126" s="66">
        <v>-5.8079999999999998</v>
      </c>
      <c r="AB126" s="60">
        <v>-2.06</v>
      </c>
      <c r="AC126" s="34"/>
      <c r="AD126" s="66">
        <v>-6.6320000000000006</v>
      </c>
      <c r="AE126" s="60">
        <v>-1.23</v>
      </c>
    </row>
    <row r="127" spans="1:31" ht="18" customHeight="1" collapsed="1" x14ac:dyDescent="0.2">
      <c r="A127" s="35"/>
      <c r="B127" s="35"/>
      <c r="C127" s="4">
        <v>-0.46615648041374008</v>
      </c>
      <c r="D127" s="4">
        <v>1.8939393939393943E-2</v>
      </c>
      <c r="F127" s="106" t="s">
        <v>151</v>
      </c>
      <c r="H127" s="61">
        <v>-37.582000000000001</v>
      </c>
      <c r="I127" s="61">
        <v>-29.983999999999998</v>
      </c>
      <c r="J127" s="61">
        <v>-29.983999999999998</v>
      </c>
      <c r="K127" s="86">
        <v>-28.616999999999997</v>
      </c>
      <c r="L127" s="86">
        <v>-42.767999999999994</v>
      </c>
      <c r="M127" s="61">
        <v>-5.3140000000000001</v>
      </c>
      <c r="N127" s="61">
        <v>-2.4689999999999999</v>
      </c>
      <c r="O127" s="61">
        <v>-3.169</v>
      </c>
      <c r="P127" s="61">
        <v>-4.9979999999999993</v>
      </c>
      <c r="Q127" s="61">
        <v>-3.2110000000000003</v>
      </c>
      <c r="R127" s="61">
        <v>-2.3570000000000002</v>
      </c>
      <c r="S127" s="61">
        <v>-2.048</v>
      </c>
      <c r="T127" s="61">
        <v>-1.5069999999999997</v>
      </c>
      <c r="U127" s="61">
        <v>-2.5170000000000003</v>
      </c>
      <c r="V127" s="61">
        <v>-2.5960000000000019</v>
      </c>
      <c r="W127" s="61">
        <v>-6.8679999999999986</v>
      </c>
      <c r="X127" s="61">
        <v>-4.8990000000000018</v>
      </c>
      <c r="Y127" s="61">
        <v>-41.952999999999996</v>
      </c>
      <c r="AA127" s="61">
        <v>-28.617000000000001</v>
      </c>
      <c r="AB127" s="60">
        <v>-13.34</v>
      </c>
      <c r="AD127" s="61">
        <v>-42.767999999999994</v>
      </c>
      <c r="AE127" s="60">
        <v>0.81</v>
      </c>
    </row>
    <row r="128" spans="1:31" ht="18" customHeight="1" collapsed="1" x14ac:dyDescent="0.2">
      <c r="A128" s="30" t="s">
        <v>146</v>
      </c>
      <c r="B128" s="30" t="s">
        <v>18</v>
      </c>
      <c r="C128" s="4">
        <v>0.2605628733894767</v>
      </c>
      <c r="D128" s="4">
        <v>1.9098548510313219E-2</v>
      </c>
      <c r="F128" s="106" t="s">
        <v>147</v>
      </c>
      <c r="H128" s="61">
        <v>-10.996</v>
      </c>
      <c r="I128" s="61">
        <v>-7.1070000000000002</v>
      </c>
      <c r="J128" s="61">
        <v>-7.1070000000000002</v>
      </c>
      <c r="K128" s="86">
        <v>-13.893000000000001</v>
      </c>
      <c r="L128" s="86">
        <v>-10.472</v>
      </c>
      <c r="M128" s="61">
        <v>-0.46800000000000003</v>
      </c>
      <c r="N128" s="61">
        <v>-0.46999999999999992</v>
      </c>
      <c r="O128" s="61">
        <v>-0.46799999999999997</v>
      </c>
      <c r="P128" s="61">
        <v>-0.46800000000000019</v>
      </c>
      <c r="Q128" s="61">
        <v>-2.4709999999999996</v>
      </c>
      <c r="R128" s="61">
        <v>-0.22700000000000031</v>
      </c>
      <c r="S128" s="61">
        <v>-0.42799999999999994</v>
      </c>
      <c r="T128" s="61">
        <v>-0.42799999999999994</v>
      </c>
      <c r="U128" s="61">
        <v>-2.4290000000000003</v>
      </c>
      <c r="V128" s="61">
        <v>-1.0959999999999992</v>
      </c>
      <c r="W128" s="61">
        <v>-1.8500000000000014</v>
      </c>
      <c r="X128" s="61">
        <v>0.53200000000000003</v>
      </c>
      <c r="Y128" s="61">
        <v>-10.271000000000001</v>
      </c>
      <c r="AA128" s="61">
        <v>-13.893000000000001</v>
      </c>
      <c r="AB128" s="60">
        <v>3.62</v>
      </c>
      <c r="AD128" s="61">
        <v>-10.472</v>
      </c>
      <c r="AE128" s="60">
        <v>0.2</v>
      </c>
    </row>
    <row r="129" spans="1:31" ht="18" hidden="1" customHeight="1" outlineLevel="1" x14ac:dyDescent="0.2">
      <c r="A129" s="30" t="s">
        <v>154</v>
      </c>
      <c r="B129" s="30" t="s">
        <v>18</v>
      </c>
      <c r="C129" s="4">
        <v>-0.29129564437081518</v>
      </c>
      <c r="D129" s="4">
        <v>-0.16512961116650052</v>
      </c>
      <c r="F129" s="38" t="s">
        <v>155</v>
      </c>
      <c r="G129" s="34"/>
      <c r="H129" s="66">
        <v>-14.896000000000001</v>
      </c>
      <c r="I129" s="66">
        <v>4</v>
      </c>
      <c r="J129" s="66">
        <v>4</v>
      </c>
      <c r="K129" s="86">
        <v>-14.487</v>
      </c>
      <c r="L129" s="86">
        <v>-16.047999999999998</v>
      </c>
      <c r="M129" s="66">
        <v>4</v>
      </c>
      <c r="N129" s="66">
        <v>-2.1459999999999999</v>
      </c>
      <c r="O129" s="66">
        <v>-0.57200000000000006</v>
      </c>
      <c r="P129" s="66">
        <v>1.6280000000000001</v>
      </c>
      <c r="Q129" s="66">
        <v>-2</v>
      </c>
      <c r="R129" s="66">
        <v>2.802</v>
      </c>
      <c r="S129" s="66">
        <v>-0.15500000000000025</v>
      </c>
      <c r="T129" s="66">
        <v>0</v>
      </c>
      <c r="U129" s="66">
        <v>-19.166999999999998</v>
      </c>
      <c r="V129" s="66">
        <v>-1.7763568394002505E-15</v>
      </c>
      <c r="W129" s="66">
        <v>-2</v>
      </c>
      <c r="X129" s="66">
        <v>-1.0920000000000023</v>
      </c>
      <c r="Y129" s="66">
        <v>-18.702000000000002</v>
      </c>
      <c r="Z129" s="34"/>
      <c r="AA129" s="66">
        <v>-14.487</v>
      </c>
      <c r="AB129" s="60">
        <v>-4.22</v>
      </c>
      <c r="AC129" s="34"/>
      <c r="AD129" s="66">
        <v>-16.047999999999998</v>
      </c>
      <c r="AE129" s="60">
        <v>-2.65</v>
      </c>
    </row>
    <row r="130" spans="1:31" ht="18" hidden="1" customHeight="1" outlineLevel="1" x14ac:dyDescent="0.2">
      <c r="A130" s="30" t="s">
        <v>156</v>
      </c>
      <c r="B130" s="30" t="s">
        <v>18</v>
      </c>
      <c r="C130" s="4">
        <v>-1.4774916798038187</v>
      </c>
      <c r="D130" s="4">
        <v>-8.5148818656029468E-2</v>
      </c>
      <c r="F130" s="38" t="s">
        <v>157</v>
      </c>
      <c r="G130" s="34"/>
      <c r="H130" s="66">
        <v>-24.154</v>
      </c>
      <c r="I130" s="66">
        <v>-11.689</v>
      </c>
      <c r="J130" s="66">
        <v>-11.689</v>
      </c>
      <c r="K130" s="86">
        <v>-11.417999999999999</v>
      </c>
      <c r="L130" s="86">
        <v>-26.071999999999999</v>
      </c>
      <c r="M130" s="66">
        <v>-6.944</v>
      </c>
      <c r="N130" s="66">
        <v>-2.4029999999999996</v>
      </c>
      <c r="O130" s="66">
        <v>-9.7910000000000021</v>
      </c>
      <c r="P130" s="66">
        <v>-7.2579999999999991</v>
      </c>
      <c r="Q130" s="66">
        <v>-5.134999999999998</v>
      </c>
      <c r="R130" s="66">
        <v>-2.2000000000000028</v>
      </c>
      <c r="S130" s="66">
        <v>3.3000000000000007</v>
      </c>
      <c r="T130" s="66">
        <v>2.5440000000000005</v>
      </c>
      <c r="U130" s="66">
        <v>0</v>
      </c>
      <c r="V130" s="66">
        <v>1.7379999999999995</v>
      </c>
      <c r="W130" s="66">
        <v>-1.0999999999999979</v>
      </c>
      <c r="X130" s="66">
        <v>-1.0430000000000028</v>
      </c>
      <c r="Y130" s="66">
        <v>-28.292000000000002</v>
      </c>
      <c r="Z130" s="34"/>
      <c r="AA130" s="66">
        <v>-11.417999999999999</v>
      </c>
      <c r="AB130" s="60">
        <v>-16.87</v>
      </c>
      <c r="AC130" s="34"/>
      <c r="AD130" s="66">
        <v>-26.071999999999999</v>
      </c>
      <c r="AE130" s="60">
        <v>-2.2200000000000002</v>
      </c>
    </row>
    <row r="131" spans="1:31" ht="18" hidden="1" customHeight="1" outlineLevel="1" x14ac:dyDescent="0.2">
      <c r="A131" s="30" t="s">
        <v>160</v>
      </c>
      <c r="B131" s="30" t="s">
        <v>18</v>
      </c>
      <c r="C131" s="4">
        <v>0</v>
      </c>
      <c r="D131" s="4">
        <v>0</v>
      </c>
      <c r="F131" s="38" t="s">
        <v>161</v>
      </c>
      <c r="G131" s="34"/>
      <c r="H131" s="66">
        <v>4.2160000000000002</v>
      </c>
      <c r="I131" s="66">
        <v>0.40699999999999997</v>
      </c>
      <c r="J131" s="66">
        <v>0.40699999999999997</v>
      </c>
      <c r="K131" s="86">
        <v>0</v>
      </c>
      <c r="L131" s="8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34"/>
      <c r="AA131" s="66">
        <v>0</v>
      </c>
      <c r="AB131" s="60">
        <v>0</v>
      </c>
      <c r="AC131" s="34"/>
      <c r="AD131" s="66">
        <v>0</v>
      </c>
      <c r="AE131" s="60">
        <v>0</v>
      </c>
    </row>
    <row r="132" spans="1:31" ht="18" customHeight="1" collapsed="1" x14ac:dyDescent="0.2">
      <c r="A132" s="35"/>
      <c r="B132" s="35"/>
      <c r="C132" s="4">
        <v>-0.81412854661262302</v>
      </c>
      <c r="D132" s="4">
        <v>-0.11562203228869897</v>
      </c>
      <c r="F132" s="106" t="s">
        <v>378</v>
      </c>
      <c r="H132" s="61">
        <v>-34.833999999999996</v>
      </c>
      <c r="I132" s="61">
        <v>-7.282</v>
      </c>
      <c r="J132" s="61">
        <v>-7.282</v>
      </c>
      <c r="K132" s="86">
        <v>-25.905000000000001</v>
      </c>
      <c r="L132" s="86">
        <v>-42.12</v>
      </c>
      <c r="M132" s="61">
        <v>-2.944</v>
      </c>
      <c r="N132" s="61">
        <v>-4.5489999999999995</v>
      </c>
      <c r="O132" s="61">
        <v>-10.363000000000003</v>
      </c>
      <c r="P132" s="61">
        <v>-5.629999999999999</v>
      </c>
      <c r="Q132" s="61">
        <v>-7.134999999999998</v>
      </c>
      <c r="R132" s="61">
        <v>0.6019999999999972</v>
      </c>
      <c r="S132" s="61">
        <v>3.1450000000000005</v>
      </c>
      <c r="T132" s="61">
        <v>2.5440000000000005</v>
      </c>
      <c r="U132" s="61">
        <v>-19.166999999999998</v>
      </c>
      <c r="V132" s="61">
        <v>1.7379999999999978</v>
      </c>
      <c r="W132" s="61">
        <v>-3.0999999999999979</v>
      </c>
      <c r="X132" s="61">
        <v>-2.1350000000000051</v>
      </c>
      <c r="Y132" s="61">
        <v>-46.994</v>
      </c>
      <c r="AA132" s="61">
        <v>-25.905000000000001</v>
      </c>
      <c r="AB132" s="60">
        <v>-21.09</v>
      </c>
      <c r="AD132" s="61">
        <v>-42.12</v>
      </c>
      <c r="AE132" s="60">
        <v>-4.87</v>
      </c>
    </row>
    <row r="133" spans="1:31" ht="18" hidden="1" customHeight="1" outlineLevel="1" x14ac:dyDescent="0.2">
      <c r="A133" s="30" t="s">
        <v>158</v>
      </c>
      <c r="B133" s="30" t="s">
        <v>18</v>
      </c>
      <c r="C133" s="4">
        <v>0.98112270243417798</v>
      </c>
      <c r="D133" s="4">
        <v>-1.7708333333333428</v>
      </c>
      <c r="F133" s="38" t="s">
        <v>159</v>
      </c>
      <c r="G133" s="34"/>
      <c r="H133" s="66">
        <v>-0.25</v>
      </c>
      <c r="I133" s="66">
        <v>-0.13200000000000001</v>
      </c>
      <c r="J133" s="66">
        <v>-0.13200000000000001</v>
      </c>
      <c r="K133" s="86">
        <v>-8.0519999999999996</v>
      </c>
      <c r="L133" s="86">
        <v>0.191999999999999</v>
      </c>
      <c r="M133" s="66">
        <v>-1E-3</v>
      </c>
      <c r="N133" s="66">
        <v>-3.4999999999999996E-2</v>
      </c>
      <c r="O133" s="66">
        <v>-3.2000000000000008E-2</v>
      </c>
      <c r="P133" s="66">
        <v>-2.5999999999999995E-2</v>
      </c>
      <c r="Q133" s="66">
        <v>1.8000000000000002E-2</v>
      </c>
      <c r="R133" s="66">
        <v>0</v>
      </c>
      <c r="S133" s="66">
        <v>-1.9000000000000003E-2</v>
      </c>
      <c r="T133" s="66">
        <v>-3.7000000000000005E-2</v>
      </c>
      <c r="U133" s="66">
        <v>-2.6999999999999996E-2</v>
      </c>
      <c r="V133" s="66">
        <v>1.4000000000000012E-2</v>
      </c>
      <c r="W133" s="66">
        <v>-3.0000000000000027E-3</v>
      </c>
      <c r="X133" s="66">
        <v>-2.0000000000000018E-3</v>
      </c>
      <c r="Y133" s="66">
        <v>-0.15</v>
      </c>
      <c r="Z133" s="34"/>
      <c r="AA133" s="66">
        <v>-8.0519999999999996</v>
      </c>
      <c r="AB133" s="60">
        <v>7.9</v>
      </c>
      <c r="AC133" s="34"/>
      <c r="AD133" s="66">
        <v>0.19199999999999898</v>
      </c>
      <c r="AE133" s="60">
        <v>-0.34</v>
      </c>
    </row>
    <row r="134" spans="1:31" ht="18" hidden="1" customHeight="1" outlineLevel="1" x14ac:dyDescent="0.2">
      <c r="A134" s="30" t="s">
        <v>152</v>
      </c>
      <c r="B134" s="30" t="s">
        <v>18</v>
      </c>
      <c r="C134" s="4">
        <v>-1.0037641154328734</v>
      </c>
      <c r="D134" s="4">
        <v>-1.0037641154328734</v>
      </c>
      <c r="F134" s="38" t="s">
        <v>153</v>
      </c>
      <c r="G134" s="34"/>
      <c r="H134" s="66">
        <v>-0.216</v>
      </c>
      <c r="I134" s="66">
        <v>-3.5000000000000003E-2</v>
      </c>
      <c r="J134" s="66">
        <v>-3.5000000000000003E-2</v>
      </c>
      <c r="K134" s="86">
        <v>0</v>
      </c>
      <c r="L134" s="86">
        <v>0</v>
      </c>
      <c r="M134" s="66">
        <v>0</v>
      </c>
      <c r="N134" s="66">
        <v>0</v>
      </c>
      <c r="O134" s="66">
        <v>-0.1</v>
      </c>
      <c r="P134" s="66">
        <v>-0.55800000000000005</v>
      </c>
      <c r="Q134" s="66">
        <v>-0.31399999999999995</v>
      </c>
      <c r="R134" s="66">
        <v>-3.400000000000003E-2</v>
      </c>
      <c r="S134" s="66">
        <v>-7.0000000000000062E-2</v>
      </c>
      <c r="T134" s="66">
        <v>0</v>
      </c>
      <c r="U134" s="66">
        <v>0</v>
      </c>
      <c r="V134" s="66">
        <v>0.27900000000000003</v>
      </c>
      <c r="W134" s="66">
        <v>0</v>
      </c>
      <c r="X134" s="66">
        <v>0</v>
      </c>
      <c r="Y134" s="66">
        <v>-0.79700000000000004</v>
      </c>
      <c r="Z134" s="34"/>
      <c r="AA134" s="66">
        <v>0</v>
      </c>
      <c r="AB134" s="60">
        <v>-0.8</v>
      </c>
      <c r="AC134" s="34"/>
      <c r="AD134" s="66">
        <v>0</v>
      </c>
      <c r="AE134" s="60">
        <v>-0.8</v>
      </c>
    </row>
    <row r="135" spans="1:31" ht="18" hidden="1" customHeight="1" outlineLevel="1" x14ac:dyDescent="0.2">
      <c r="A135" s="30" t="s">
        <v>269</v>
      </c>
      <c r="B135" s="30" t="s">
        <v>18</v>
      </c>
      <c r="C135" s="4">
        <v>0</v>
      </c>
      <c r="D135" s="4">
        <v>0</v>
      </c>
      <c r="F135" s="38" t="s">
        <v>271</v>
      </c>
      <c r="G135" s="34"/>
      <c r="H135" s="66">
        <v>0</v>
      </c>
      <c r="I135" s="66">
        <v>0</v>
      </c>
      <c r="J135" s="66">
        <v>0</v>
      </c>
      <c r="K135" s="86">
        <v>0</v>
      </c>
      <c r="L135" s="8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34"/>
      <c r="AA135" s="66">
        <v>0</v>
      </c>
      <c r="AB135" s="60">
        <v>0</v>
      </c>
      <c r="AC135" s="34"/>
      <c r="AD135" s="66">
        <v>0</v>
      </c>
      <c r="AE135" s="60">
        <v>0</v>
      </c>
    </row>
    <row r="136" spans="1:31" ht="18" hidden="1" customHeight="1" outlineLevel="1" x14ac:dyDescent="0.2">
      <c r="A136" s="30" t="s">
        <v>270</v>
      </c>
      <c r="B136" s="30" t="s">
        <v>18</v>
      </c>
      <c r="C136" s="4">
        <v>0</v>
      </c>
      <c r="D136" s="4">
        <v>0</v>
      </c>
      <c r="F136" s="38" t="s">
        <v>272</v>
      </c>
      <c r="G136" s="34"/>
      <c r="H136" s="66">
        <v>0</v>
      </c>
      <c r="I136" s="66">
        <v>0</v>
      </c>
      <c r="J136" s="66">
        <v>0</v>
      </c>
      <c r="K136" s="86">
        <v>0</v>
      </c>
      <c r="L136" s="8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34"/>
      <c r="AA136" s="66">
        <v>0</v>
      </c>
      <c r="AB136" s="60">
        <v>0</v>
      </c>
      <c r="AC136" s="34"/>
      <c r="AD136" s="66">
        <v>0</v>
      </c>
      <c r="AE136" s="60">
        <v>0</v>
      </c>
    </row>
    <row r="137" spans="1:31" ht="18" hidden="1" customHeight="1" outlineLevel="1" x14ac:dyDescent="0.2">
      <c r="A137" s="30" t="s">
        <v>162</v>
      </c>
      <c r="B137" s="30" t="s">
        <v>18</v>
      </c>
      <c r="C137" s="4">
        <v>0</v>
      </c>
      <c r="D137" s="4">
        <v>0</v>
      </c>
      <c r="F137" s="38" t="s">
        <v>163</v>
      </c>
      <c r="G137" s="34"/>
      <c r="H137" s="66">
        <v>0</v>
      </c>
      <c r="I137" s="66">
        <v>0</v>
      </c>
      <c r="J137" s="66">
        <v>0</v>
      </c>
      <c r="K137" s="86">
        <v>0</v>
      </c>
      <c r="L137" s="8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34"/>
      <c r="AA137" s="66">
        <v>0</v>
      </c>
      <c r="AB137" s="60">
        <v>0</v>
      </c>
      <c r="AC137" s="34"/>
      <c r="AD137" s="66">
        <v>0</v>
      </c>
      <c r="AE137" s="60">
        <v>0</v>
      </c>
    </row>
    <row r="138" spans="1:31" ht="18" hidden="1" customHeight="1" outlineLevel="1" x14ac:dyDescent="0.2">
      <c r="A138" s="30" t="s">
        <v>164</v>
      </c>
      <c r="B138" s="30" t="s">
        <v>18</v>
      </c>
      <c r="C138" s="4">
        <v>0</v>
      </c>
      <c r="D138" s="4">
        <v>0</v>
      </c>
      <c r="F138" s="38" t="s">
        <v>165</v>
      </c>
      <c r="G138" s="34"/>
      <c r="H138" s="66">
        <v>0</v>
      </c>
      <c r="I138" s="66">
        <v>0</v>
      </c>
      <c r="J138" s="66">
        <v>0</v>
      </c>
      <c r="K138" s="86">
        <v>0</v>
      </c>
      <c r="L138" s="8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34"/>
      <c r="AA138" s="66">
        <v>0</v>
      </c>
      <c r="AB138" s="60">
        <v>0</v>
      </c>
      <c r="AC138" s="34"/>
      <c r="AD138" s="66">
        <v>0</v>
      </c>
      <c r="AE138" s="60">
        <v>0</v>
      </c>
    </row>
    <row r="139" spans="1:31" ht="18" hidden="1" customHeight="1" outlineLevel="1" x14ac:dyDescent="0.2">
      <c r="A139" s="30" t="s">
        <v>166</v>
      </c>
      <c r="B139" s="30" t="s">
        <v>18</v>
      </c>
      <c r="C139" s="4">
        <v>0</v>
      </c>
      <c r="D139" s="4">
        <v>0</v>
      </c>
      <c r="F139" s="38" t="s">
        <v>167</v>
      </c>
      <c r="G139" s="34"/>
      <c r="H139" s="66">
        <v>0</v>
      </c>
      <c r="I139" s="66">
        <v>0</v>
      </c>
      <c r="J139" s="66">
        <v>0</v>
      </c>
      <c r="K139" s="86">
        <v>0</v>
      </c>
      <c r="L139" s="8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34"/>
      <c r="AA139" s="66">
        <v>0</v>
      </c>
      <c r="AB139" s="60">
        <v>0</v>
      </c>
      <c r="AC139" s="34"/>
      <c r="AD139" s="66">
        <v>0</v>
      </c>
      <c r="AE139" s="60">
        <v>0</v>
      </c>
    </row>
    <row r="140" spans="1:31" ht="18" customHeight="1" collapsed="1" x14ac:dyDescent="0.2">
      <c r="A140" s="30" t="s">
        <v>408</v>
      </c>
      <c r="B140" s="30" t="s">
        <v>18</v>
      </c>
      <c r="C140" s="4"/>
      <c r="D140" s="4"/>
      <c r="F140" s="106" t="s">
        <v>409</v>
      </c>
      <c r="G140" s="34"/>
      <c r="H140" s="61">
        <v>-2.4769999999999999</v>
      </c>
      <c r="I140" s="61">
        <v>-2.4500000000000002</v>
      </c>
      <c r="J140" s="61">
        <v>-2.4500000000000002</v>
      </c>
      <c r="K140" s="86">
        <v>0</v>
      </c>
      <c r="L140" s="86">
        <v>0</v>
      </c>
      <c r="M140" s="61">
        <v>0</v>
      </c>
      <c r="N140" s="197">
        <v>-0.60499999999999998</v>
      </c>
      <c r="O140" s="61">
        <v>0</v>
      </c>
      <c r="P140" s="61">
        <v>0</v>
      </c>
      <c r="Q140" s="61">
        <v>-0.57299999999999995</v>
      </c>
      <c r="R140" s="61">
        <v>0</v>
      </c>
      <c r="S140" s="61">
        <v>0</v>
      </c>
      <c r="T140" s="61">
        <v>-0.52</v>
      </c>
      <c r="U140" s="61">
        <v>0</v>
      </c>
      <c r="V140" s="61">
        <v>0</v>
      </c>
      <c r="W140" s="61">
        <v>-0.57100000000000017</v>
      </c>
      <c r="X140" s="61">
        <v>0</v>
      </c>
      <c r="Y140" s="61">
        <v>-2.2690000000000001</v>
      </c>
      <c r="AA140" s="257">
        <v>0</v>
      </c>
      <c r="AB140" s="60">
        <v>-2.27</v>
      </c>
      <c r="AD140" s="61">
        <v>0</v>
      </c>
      <c r="AE140" s="60">
        <v>-2.27</v>
      </c>
    </row>
    <row r="141" spans="1:31" ht="18" customHeight="1" x14ac:dyDescent="0.2">
      <c r="A141" s="35"/>
      <c r="B141" s="35"/>
      <c r="C141" s="4">
        <v>0.88301043219076014</v>
      </c>
      <c r="D141" s="4">
        <v>-5.9375000000000311</v>
      </c>
      <c r="F141" s="106" t="s">
        <v>189</v>
      </c>
      <c r="H141" s="61">
        <v>-0.46599999999999997</v>
      </c>
      <c r="I141" s="61">
        <v>-0.16700000000000001</v>
      </c>
      <c r="J141" s="61">
        <v>-0.16700000000000001</v>
      </c>
      <c r="K141" s="86">
        <v>-8.0519999999999996</v>
      </c>
      <c r="L141" s="86">
        <v>0.191999999999999</v>
      </c>
      <c r="M141" s="61">
        <v>-1E-3</v>
      </c>
      <c r="N141" s="61">
        <v>-3.4999999999999996E-2</v>
      </c>
      <c r="O141" s="61">
        <v>-0.13200000000000001</v>
      </c>
      <c r="P141" s="61">
        <v>-0.58400000000000007</v>
      </c>
      <c r="Q141" s="61">
        <v>-0.29599999999999993</v>
      </c>
      <c r="R141" s="61">
        <v>-3.400000000000003E-2</v>
      </c>
      <c r="S141" s="61">
        <v>-8.9000000000000065E-2</v>
      </c>
      <c r="T141" s="61">
        <v>-3.7000000000000005E-2</v>
      </c>
      <c r="U141" s="61">
        <v>-2.6999999999999996E-2</v>
      </c>
      <c r="V141" s="61">
        <v>0.29300000000000004</v>
      </c>
      <c r="W141" s="61">
        <v>-3.0000000000000027E-3</v>
      </c>
      <c r="X141" s="61">
        <v>-2.0000000000000018E-3</v>
      </c>
      <c r="Y141" s="61">
        <v>-0.94700000000000006</v>
      </c>
      <c r="AA141" s="61">
        <v>-8.0519999999999996</v>
      </c>
      <c r="AB141" s="60">
        <v>7.11</v>
      </c>
      <c r="AD141" s="61">
        <v>0.19199999999999898</v>
      </c>
      <c r="AE141" s="60">
        <v>-1.1399999999999999</v>
      </c>
    </row>
    <row r="142" spans="1:31" ht="18" customHeight="1" x14ac:dyDescent="0.2">
      <c r="A142" s="35"/>
      <c r="B142" s="35"/>
      <c r="C142" s="4">
        <v>-0.29388528138528142</v>
      </c>
      <c r="D142" s="4">
        <v>-3.5108225108225102E-2</v>
      </c>
      <c r="F142" s="95" t="s">
        <v>65</v>
      </c>
      <c r="H142" s="195">
        <v>-224.88500000000002</v>
      </c>
      <c r="I142" s="195">
        <v>-190.68600000000001</v>
      </c>
      <c r="J142" s="64">
        <v>-190.68600000000001</v>
      </c>
      <c r="K142" s="89">
        <v>-184.79999999999998</v>
      </c>
      <c r="L142" s="89">
        <v>-231</v>
      </c>
      <c r="M142" s="64">
        <v>-20.125</v>
      </c>
      <c r="N142" s="64">
        <v>-18.073999999999998</v>
      </c>
      <c r="O142" s="64">
        <v>-23.606000000000005</v>
      </c>
      <c r="P142" s="64">
        <v>-24.247</v>
      </c>
      <c r="Q142" s="64">
        <v>-23.252999999999993</v>
      </c>
      <c r="R142" s="64">
        <v>-13.462000000000005</v>
      </c>
      <c r="S142" s="64">
        <v>-11.551000000000004</v>
      </c>
      <c r="T142" s="64">
        <v>-8.8609999999999953</v>
      </c>
      <c r="U142" s="64">
        <v>-36.147999999999996</v>
      </c>
      <c r="V142" s="64">
        <v>-13.327</v>
      </c>
      <c r="W142" s="64">
        <v>-27.414000000000001</v>
      </c>
      <c r="X142" s="64">
        <v>-19.038999999999998</v>
      </c>
      <c r="Y142" s="64">
        <v>-239.107</v>
      </c>
      <c r="AA142" s="64">
        <v>-184.79999999999998</v>
      </c>
      <c r="AB142" s="60">
        <v>-54.31</v>
      </c>
      <c r="AD142" s="64">
        <v>-231</v>
      </c>
      <c r="AE142" s="60">
        <v>-8.11</v>
      </c>
    </row>
    <row r="143" spans="1:31" ht="12.95" customHeight="1" x14ac:dyDescent="0.2">
      <c r="A143" s="35"/>
      <c r="B143" s="35"/>
      <c r="C143" s="4"/>
      <c r="D143" s="4"/>
      <c r="F143" s="39" t="s">
        <v>223</v>
      </c>
      <c r="H143" s="56">
        <v>3.3225902153016594E-2</v>
      </c>
      <c r="I143" s="56">
        <v>2.7926173417427501E-2</v>
      </c>
      <c r="J143" s="56">
        <v>2.7926173417427501E-2</v>
      </c>
      <c r="K143" s="109">
        <v>2.8852355409184318E-2</v>
      </c>
      <c r="L143" s="109">
        <v>3.6159294370937067E-2</v>
      </c>
      <c r="M143" s="56">
        <v>3.8552605868808112E-2</v>
      </c>
      <c r="N143" s="56">
        <v>3.1467849656315508E-2</v>
      </c>
      <c r="O143" s="56">
        <v>4.4750456395508655E-2</v>
      </c>
      <c r="P143" s="56">
        <v>3.8298846943610812E-2</v>
      </c>
      <c r="Q143" s="56">
        <v>4.3209142432407303E-2</v>
      </c>
      <c r="R143" s="56">
        <v>2.4050924643890186E-2</v>
      </c>
      <c r="S143" s="56">
        <v>2.2552486123123959E-2</v>
      </c>
      <c r="T143" s="56">
        <v>1.6747116834811931E-2</v>
      </c>
      <c r="U143" s="56">
        <v>6.6217013310081313E-2</v>
      </c>
      <c r="V143" s="56">
        <v>2.6375161789560723E-2</v>
      </c>
      <c r="W143" s="56">
        <v>4.704230959310312E-2</v>
      </c>
      <c r="X143" s="56">
        <v>3.2517339791597967E-2</v>
      </c>
      <c r="Y143" s="56">
        <v>3.614294835594456E-2</v>
      </c>
      <c r="AA143" s="56">
        <v>2.8852355409184318E-2</v>
      </c>
      <c r="AB143" s="57"/>
      <c r="AD143" s="56">
        <v>3.6159294370937067E-2</v>
      </c>
      <c r="AE143" s="57"/>
    </row>
    <row r="144" spans="1:31" ht="6.95" customHeight="1" x14ac:dyDescent="0.2">
      <c r="C144" s="4"/>
      <c r="D144" s="4"/>
      <c r="F144" s="96"/>
      <c r="H144" s="16"/>
      <c r="I144" s="16"/>
      <c r="J144" s="16"/>
      <c r="K144" s="85"/>
      <c r="L144" s="85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AA144" s="16"/>
      <c r="AB144" s="20"/>
      <c r="AD144" s="16"/>
      <c r="AE144" s="20"/>
    </row>
    <row r="145" spans="1:31" ht="18" hidden="1" customHeight="1" outlineLevel="1" collapsed="1" x14ac:dyDescent="0.2">
      <c r="A145" s="35"/>
      <c r="B145" s="35"/>
      <c r="C145" s="4"/>
      <c r="D145" s="4"/>
      <c r="F145" s="97" t="s">
        <v>242</v>
      </c>
      <c r="H145" s="74">
        <v>3.7469400000000004</v>
      </c>
      <c r="I145" s="74">
        <v>2.6875</v>
      </c>
      <c r="J145" s="74">
        <v>2.6875</v>
      </c>
      <c r="K145" s="112">
        <v>1.7</v>
      </c>
      <c r="L145" s="112">
        <v>3.84</v>
      </c>
      <c r="M145" s="74">
        <v>3.4675199999999999</v>
      </c>
      <c r="N145" s="74">
        <v>4.2487200000000005</v>
      </c>
      <c r="O145" s="74">
        <v>4.7215199999999991</v>
      </c>
      <c r="P145" s="74">
        <v>5.0724000000000009</v>
      </c>
      <c r="Q145" s="74">
        <v>1.3555199999999989</v>
      </c>
      <c r="R145" s="74">
        <v>5.9140799999999993</v>
      </c>
      <c r="S145" s="74">
        <v>6.0854399999999984</v>
      </c>
      <c r="T145" s="74">
        <v>1.44</v>
      </c>
      <c r="U145" s="74">
        <v>6.1934400000000025</v>
      </c>
      <c r="V145" s="74">
        <v>3.8376000000000023</v>
      </c>
      <c r="W145" s="74">
        <v>10.080959999999997</v>
      </c>
      <c r="X145" s="74">
        <v>4.8892799999999959</v>
      </c>
      <c r="Y145" s="74">
        <v>4.7755399999999995</v>
      </c>
      <c r="AA145" s="74">
        <v>1.7</v>
      </c>
      <c r="AB145" s="73">
        <v>3.08</v>
      </c>
      <c r="AD145" s="74">
        <v>3.84</v>
      </c>
      <c r="AE145" s="73">
        <v>0.94</v>
      </c>
    </row>
    <row r="146" spans="1:31" ht="18" customHeight="1" collapsed="1" x14ac:dyDescent="0.2">
      <c r="A146" s="30" t="s">
        <v>79</v>
      </c>
      <c r="B146" s="30" t="s">
        <v>18</v>
      </c>
      <c r="C146" s="4">
        <v>-1.8091764705882354</v>
      </c>
      <c r="D146" s="4">
        <v>-0.24364583333333334</v>
      </c>
      <c r="F146" s="106" t="s">
        <v>83</v>
      </c>
      <c r="H146" s="61">
        <v>-187.34700000000001</v>
      </c>
      <c r="I146" s="61">
        <v>-134.375</v>
      </c>
      <c r="J146" s="61">
        <v>-134.375</v>
      </c>
      <c r="K146" s="86">
        <v>-85</v>
      </c>
      <c r="L146" s="86">
        <v>-192</v>
      </c>
      <c r="M146" s="61">
        <v>-14.448</v>
      </c>
      <c r="N146" s="61">
        <v>-17.703000000000003</v>
      </c>
      <c r="O146" s="61">
        <v>-19.672999999999995</v>
      </c>
      <c r="P146" s="61">
        <v>-21.135000000000005</v>
      </c>
      <c r="Q146" s="61">
        <v>-5.6479999999999961</v>
      </c>
      <c r="R146" s="61">
        <v>-24.641999999999996</v>
      </c>
      <c r="S146" s="61">
        <v>-25.355999999999995</v>
      </c>
      <c r="T146" s="61">
        <v>-6</v>
      </c>
      <c r="U146" s="61">
        <v>-25.806000000000012</v>
      </c>
      <c r="V146" s="61">
        <v>-15.990000000000009</v>
      </c>
      <c r="W146" s="61">
        <v>-42.003999999999991</v>
      </c>
      <c r="X146" s="61">
        <v>-20.371999999999986</v>
      </c>
      <c r="Y146" s="61">
        <v>-238.77699999999999</v>
      </c>
      <c r="AA146" s="61">
        <v>-85</v>
      </c>
      <c r="AB146" s="60">
        <v>-153.78</v>
      </c>
      <c r="AD146" s="61">
        <v>-192</v>
      </c>
      <c r="AE146" s="60">
        <v>-46.78</v>
      </c>
    </row>
    <row r="147" spans="1:31" ht="18" customHeight="1" x14ac:dyDescent="0.2">
      <c r="A147" s="30" t="s">
        <v>80</v>
      </c>
      <c r="B147" s="30" t="s">
        <v>18</v>
      </c>
      <c r="C147" s="4">
        <v>-0.12</v>
      </c>
      <c r="D147" s="4">
        <v>-0.12</v>
      </c>
      <c r="F147" s="106" t="s">
        <v>84</v>
      </c>
      <c r="H147" s="61">
        <v>-0.224</v>
      </c>
      <c r="I147" s="61">
        <v>-0.46200000000000002</v>
      </c>
      <c r="J147" s="61">
        <v>-0.46200000000000002</v>
      </c>
      <c r="K147" s="86">
        <v>-0.5</v>
      </c>
      <c r="L147" s="86">
        <v>-0.5</v>
      </c>
      <c r="M147" s="61">
        <v>0</v>
      </c>
      <c r="N147" s="61">
        <v>-6.2E-2</v>
      </c>
      <c r="O147" s="61">
        <v>0</v>
      </c>
      <c r="P147" s="61">
        <v>-5.4000000000000006E-2</v>
      </c>
      <c r="Q147" s="61">
        <v>-0.38700000000000001</v>
      </c>
      <c r="R147" s="61">
        <v>0</v>
      </c>
      <c r="S147" s="61">
        <v>0</v>
      </c>
      <c r="T147" s="61">
        <v>0</v>
      </c>
      <c r="U147" s="61">
        <v>0</v>
      </c>
      <c r="V147" s="61">
        <v>0</v>
      </c>
      <c r="W147" s="61">
        <v>-1.0000000000000009E-2</v>
      </c>
      <c r="X147" s="61">
        <v>-4.3000000000000038E-2</v>
      </c>
      <c r="Y147" s="61">
        <v>-0.55600000000000005</v>
      </c>
      <c r="AA147" s="61">
        <v>-0.5</v>
      </c>
      <c r="AB147" s="60">
        <v>-0.06</v>
      </c>
      <c r="AD147" s="61">
        <v>-0.5</v>
      </c>
      <c r="AE147" s="60">
        <v>-0.06</v>
      </c>
    </row>
    <row r="148" spans="1:31" ht="18" customHeight="1" x14ac:dyDescent="0.2">
      <c r="A148" s="30" t="s">
        <v>81</v>
      </c>
      <c r="B148" s="30" t="s">
        <v>18</v>
      </c>
      <c r="C148" s="4">
        <v>0.16650000000000001</v>
      </c>
      <c r="D148" s="4">
        <v>-0.11133333333333333</v>
      </c>
      <c r="F148" s="106" t="s">
        <v>85</v>
      </c>
      <c r="H148" s="61">
        <v>-21.995000000000001</v>
      </c>
      <c r="I148" s="61">
        <v>-24.69</v>
      </c>
      <c r="J148" s="61">
        <v>-24.69</v>
      </c>
      <c r="K148" s="86">
        <v>-20</v>
      </c>
      <c r="L148" s="86">
        <v>-15</v>
      </c>
      <c r="M148" s="61">
        <v>-0.433</v>
      </c>
      <c r="N148" s="61">
        <v>-0.49700000000000005</v>
      </c>
      <c r="O148" s="61">
        <v>-1.1959999999999997</v>
      </c>
      <c r="P148" s="61">
        <v>-0.87999999999999989</v>
      </c>
      <c r="Q148" s="61">
        <v>-1.754</v>
      </c>
      <c r="R148" s="61">
        <v>-4.9450000000000003</v>
      </c>
      <c r="S148" s="61">
        <v>-0.41200000000000081</v>
      </c>
      <c r="T148" s="61">
        <v>-0.57199999999999918</v>
      </c>
      <c r="U148" s="61">
        <v>-0.26900000000000013</v>
      </c>
      <c r="V148" s="61">
        <v>-2.1509999999999998</v>
      </c>
      <c r="W148" s="61">
        <v>-2.8350000000000009</v>
      </c>
      <c r="X148" s="61">
        <v>-0.72399999999999842</v>
      </c>
      <c r="Y148" s="61">
        <v>-16.667999999999999</v>
      </c>
      <c r="AA148" s="61">
        <v>-20</v>
      </c>
      <c r="AB148" s="60">
        <v>3.33</v>
      </c>
      <c r="AD148" s="61">
        <v>-15</v>
      </c>
      <c r="AE148" s="60">
        <v>-1.67</v>
      </c>
    </row>
    <row r="149" spans="1:31" ht="18" customHeight="1" x14ac:dyDescent="0.2">
      <c r="A149" s="30" t="s">
        <v>204</v>
      </c>
      <c r="B149" s="30" t="s">
        <v>18</v>
      </c>
      <c r="C149" s="4">
        <v>-0.92928571428571427</v>
      </c>
      <c r="D149" s="4">
        <v>-0.6339987900786449</v>
      </c>
      <c r="F149" s="104" t="s">
        <v>139</v>
      </c>
      <c r="G149" s="36"/>
      <c r="H149" s="65">
        <v>-8.7720000000000002</v>
      </c>
      <c r="I149" s="65">
        <v>-9.0569999999999897</v>
      </c>
      <c r="J149" s="65">
        <v>-9.0569999999999897</v>
      </c>
      <c r="K149" s="65">
        <v>-14</v>
      </c>
      <c r="L149" s="65">
        <v>-16.53</v>
      </c>
      <c r="M149" s="65">
        <v>0</v>
      </c>
      <c r="N149" s="65">
        <v>-10.5</v>
      </c>
      <c r="O149" s="65">
        <v>3.1340000000000003</v>
      </c>
      <c r="P149" s="65">
        <v>0.5</v>
      </c>
      <c r="Q149" s="65">
        <v>0</v>
      </c>
      <c r="R149" s="65">
        <v>-7.9570000000000007</v>
      </c>
      <c r="S149" s="65">
        <v>-11.844999999999999</v>
      </c>
      <c r="T149" s="65">
        <v>2.0219999999999985</v>
      </c>
      <c r="U149" s="65">
        <v>0</v>
      </c>
      <c r="V149" s="65">
        <v>-0.49899999999999878</v>
      </c>
      <c r="W149" s="65">
        <v>-1.3000000000001677E-2</v>
      </c>
      <c r="X149" s="65">
        <v>-1.847999999999999</v>
      </c>
      <c r="Y149" s="65">
        <v>-27.006</v>
      </c>
      <c r="Z149" s="36"/>
      <c r="AA149" s="65">
        <v>-14</v>
      </c>
      <c r="AB149" s="60">
        <v>-13.01</v>
      </c>
      <c r="AC149" s="36"/>
      <c r="AD149" s="65">
        <v>-16.53</v>
      </c>
      <c r="AE149" s="60">
        <v>-10.48</v>
      </c>
    </row>
    <row r="150" spans="1:31" ht="18" customHeight="1" x14ac:dyDescent="0.2">
      <c r="A150" s="30" t="s">
        <v>82</v>
      </c>
      <c r="B150" s="30" t="s">
        <v>18</v>
      </c>
      <c r="C150" s="4">
        <v>0.19214285714285714</v>
      </c>
      <c r="D150" s="4">
        <v>0.1333333333333333</v>
      </c>
      <c r="F150" s="106" t="s">
        <v>86</v>
      </c>
      <c r="H150" s="61">
        <v>-5.3920000000000003</v>
      </c>
      <c r="I150" s="61">
        <v>-12.805999999999999</v>
      </c>
      <c r="J150" s="61">
        <v>-12.805999999999999</v>
      </c>
      <c r="K150" s="86">
        <v>-14</v>
      </c>
      <c r="L150" s="86">
        <v>-13.05</v>
      </c>
      <c r="M150" s="61">
        <v>-0.48899999999999999</v>
      </c>
      <c r="N150" s="61">
        <v>-6.0620000000000003</v>
      </c>
      <c r="O150" s="61">
        <v>-0.9740000000000002</v>
      </c>
      <c r="P150" s="61">
        <v>-1.4260000000000002</v>
      </c>
      <c r="Q150" s="61">
        <v>5.0000000000007816E-3</v>
      </c>
      <c r="R150" s="61">
        <v>6.7000000000000171E-2</v>
      </c>
      <c r="S150" s="61">
        <v>-4.1999999999999815E-2</v>
      </c>
      <c r="T150" s="61">
        <v>-0.68000000000000149</v>
      </c>
      <c r="U150" s="61">
        <v>-0.24099999999999966</v>
      </c>
      <c r="V150" s="61">
        <v>-1.0279999999999987</v>
      </c>
      <c r="W150" s="61">
        <v>-0.29100000000000037</v>
      </c>
      <c r="X150" s="61">
        <v>-0.14499999999999957</v>
      </c>
      <c r="Y150" s="61">
        <v>-11.305999999999999</v>
      </c>
      <c r="AA150" s="61">
        <v>-14</v>
      </c>
      <c r="AB150" s="60">
        <v>2.69</v>
      </c>
      <c r="AD150" s="61">
        <v>-13.050000000000002</v>
      </c>
      <c r="AE150" s="60">
        <v>1.74</v>
      </c>
    </row>
    <row r="151" spans="1:31" ht="18" hidden="1" customHeight="1" outlineLevel="1" x14ac:dyDescent="0.2">
      <c r="A151" s="30" t="s">
        <v>140</v>
      </c>
      <c r="B151" s="30" t="s">
        <v>18</v>
      </c>
      <c r="C151" s="4">
        <v>0</v>
      </c>
      <c r="D151" s="4">
        <v>0</v>
      </c>
      <c r="F151" s="38" t="s">
        <v>141</v>
      </c>
      <c r="G151" s="34"/>
      <c r="H151" s="66">
        <v>0</v>
      </c>
      <c r="I151" s="66">
        <v>0</v>
      </c>
      <c r="J151" s="66">
        <v>0</v>
      </c>
      <c r="K151" s="86">
        <v>0</v>
      </c>
      <c r="L151" s="8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34"/>
      <c r="AA151" s="66">
        <v>0</v>
      </c>
      <c r="AB151" s="60">
        <v>0</v>
      </c>
      <c r="AC151" s="34"/>
      <c r="AD151" s="66">
        <v>0</v>
      </c>
      <c r="AE151" s="60">
        <v>0</v>
      </c>
    </row>
    <row r="152" spans="1:31" ht="18" hidden="1" customHeight="1" outlineLevel="1" x14ac:dyDescent="0.2">
      <c r="A152" s="30" t="s">
        <v>123</v>
      </c>
      <c r="B152" s="30" t="s">
        <v>18</v>
      </c>
      <c r="C152" s="4">
        <v>0</v>
      </c>
      <c r="D152" s="4">
        <v>0</v>
      </c>
      <c r="F152" s="38" t="s">
        <v>142</v>
      </c>
      <c r="G152" s="34"/>
      <c r="H152" s="66">
        <v>0</v>
      </c>
      <c r="I152" s="66">
        <v>0</v>
      </c>
      <c r="J152" s="66">
        <v>0</v>
      </c>
      <c r="K152" s="86">
        <v>0</v>
      </c>
      <c r="L152" s="8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34"/>
      <c r="AA152" s="66">
        <v>0</v>
      </c>
      <c r="AB152" s="60">
        <v>0</v>
      </c>
      <c r="AC152" s="34"/>
      <c r="AD152" s="66">
        <v>0</v>
      </c>
      <c r="AE152" s="60">
        <v>0</v>
      </c>
    </row>
    <row r="153" spans="1:31" ht="18" hidden="1" customHeight="1" outlineLevel="1" x14ac:dyDescent="0.2">
      <c r="A153" s="30" t="s">
        <v>124</v>
      </c>
      <c r="B153" s="30" t="s">
        <v>18</v>
      </c>
      <c r="C153" s="4">
        <v>0</v>
      </c>
      <c r="D153" s="4">
        <v>0</v>
      </c>
      <c r="F153" s="38" t="s">
        <v>143</v>
      </c>
      <c r="G153" s="34"/>
      <c r="H153" s="66">
        <v>0</v>
      </c>
      <c r="I153" s="66">
        <v>0</v>
      </c>
      <c r="J153" s="66">
        <v>0</v>
      </c>
      <c r="K153" s="86">
        <v>0</v>
      </c>
      <c r="L153" s="8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34"/>
      <c r="AA153" s="66">
        <v>0</v>
      </c>
      <c r="AB153" s="60">
        <v>0</v>
      </c>
      <c r="AC153" s="34"/>
      <c r="AD153" s="66">
        <v>0</v>
      </c>
      <c r="AE153" s="60">
        <v>0</v>
      </c>
    </row>
    <row r="154" spans="1:31" ht="18" hidden="1" customHeight="1" outlineLevel="1" x14ac:dyDescent="0.2">
      <c r="A154" s="30" t="s">
        <v>265</v>
      </c>
      <c r="B154" s="30" t="s">
        <v>18</v>
      </c>
      <c r="C154" s="4">
        <v>0</v>
      </c>
      <c r="D154" s="4">
        <v>0</v>
      </c>
      <c r="F154" s="38" t="s">
        <v>266</v>
      </c>
      <c r="G154" s="34"/>
      <c r="H154" s="66">
        <v>0</v>
      </c>
      <c r="I154" s="66">
        <v>0</v>
      </c>
      <c r="J154" s="66">
        <v>0</v>
      </c>
      <c r="K154" s="86">
        <v>0</v>
      </c>
      <c r="L154" s="8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34"/>
      <c r="AA154" s="66">
        <v>0</v>
      </c>
      <c r="AB154" s="60">
        <v>0</v>
      </c>
      <c r="AC154" s="34"/>
      <c r="AD154" s="66">
        <v>0</v>
      </c>
      <c r="AE154" s="60">
        <v>0</v>
      </c>
    </row>
    <row r="155" spans="1:31" ht="18" hidden="1" customHeight="1" outlineLevel="1" x14ac:dyDescent="0.2">
      <c r="A155" s="30" t="s">
        <v>144</v>
      </c>
      <c r="B155" s="30" t="s">
        <v>18</v>
      </c>
      <c r="C155" s="4">
        <v>0</v>
      </c>
      <c r="D155" s="4">
        <v>0</v>
      </c>
      <c r="F155" s="38" t="s">
        <v>145</v>
      </c>
      <c r="G155" s="34"/>
      <c r="H155" s="66">
        <v>0</v>
      </c>
      <c r="I155" s="66">
        <v>0</v>
      </c>
      <c r="J155" s="66">
        <v>0</v>
      </c>
      <c r="K155" s="86">
        <v>0</v>
      </c>
      <c r="L155" s="8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34"/>
      <c r="AA155" s="66">
        <v>0</v>
      </c>
      <c r="AB155" s="60">
        <v>0</v>
      </c>
      <c r="AC155" s="34"/>
      <c r="AD155" s="66">
        <v>0</v>
      </c>
      <c r="AE155" s="60">
        <v>0</v>
      </c>
    </row>
    <row r="156" spans="1:31" ht="18" customHeight="1" collapsed="1" x14ac:dyDescent="0.2">
      <c r="A156" s="35"/>
      <c r="B156" s="35"/>
      <c r="C156" s="4">
        <v>0</v>
      </c>
      <c r="D156" s="4">
        <v>0</v>
      </c>
      <c r="F156" s="106" t="s">
        <v>69</v>
      </c>
      <c r="H156" s="61">
        <v>0</v>
      </c>
      <c r="I156" s="61">
        <v>0</v>
      </c>
      <c r="J156" s="61">
        <v>0</v>
      </c>
      <c r="K156" s="86">
        <v>0</v>
      </c>
      <c r="L156" s="86">
        <v>0</v>
      </c>
      <c r="M156" s="61">
        <v>0</v>
      </c>
      <c r="N156" s="61">
        <v>0</v>
      </c>
      <c r="O156" s="61">
        <v>0</v>
      </c>
      <c r="P156" s="61">
        <v>0</v>
      </c>
      <c r="Q156" s="61">
        <v>0</v>
      </c>
      <c r="R156" s="61">
        <v>0</v>
      </c>
      <c r="S156" s="61">
        <v>0</v>
      </c>
      <c r="T156" s="61">
        <v>0</v>
      </c>
      <c r="U156" s="61">
        <v>0</v>
      </c>
      <c r="V156" s="61">
        <v>0</v>
      </c>
      <c r="W156" s="61">
        <v>0</v>
      </c>
      <c r="X156" s="61">
        <v>0</v>
      </c>
      <c r="Y156" s="61">
        <v>0</v>
      </c>
      <c r="AA156" s="61">
        <v>0</v>
      </c>
      <c r="AB156" s="60">
        <v>0</v>
      </c>
      <c r="AD156" s="61">
        <v>0</v>
      </c>
      <c r="AE156" s="60">
        <v>0</v>
      </c>
    </row>
    <row r="157" spans="1:31" ht="18" customHeight="1" x14ac:dyDescent="0.2">
      <c r="A157" s="35"/>
      <c r="B157" s="35"/>
      <c r="C157" s="4">
        <v>-1.2045692883895132</v>
      </c>
      <c r="D157" s="4">
        <v>-0.24139530960013494</v>
      </c>
      <c r="F157" s="95" t="s">
        <v>276</v>
      </c>
      <c r="H157" s="64">
        <v>-223.73</v>
      </c>
      <c r="I157" s="64">
        <v>-181.39</v>
      </c>
      <c r="J157" s="64">
        <v>-181.39</v>
      </c>
      <c r="K157" s="89">
        <v>-133.5</v>
      </c>
      <c r="L157" s="89">
        <v>-237.08</v>
      </c>
      <c r="M157" s="64">
        <v>-15.370000000000001</v>
      </c>
      <c r="N157" s="64">
        <v>-34.824000000000005</v>
      </c>
      <c r="O157" s="64">
        <v>-18.708999999999993</v>
      </c>
      <c r="P157" s="64">
        <v>-22.995000000000005</v>
      </c>
      <c r="Q157" s="64">
        <v>-7.7839999999999954</v>
      </c>
      <c r="R157" s="64">
        <v>-37.476999999999997</v>
      </c>
      <c r="S157" s="64">
        <v>-37.654999999999994</v>
      </c>
      <c r="T157" s="64">
        <v>-5.2300000000000022</v>
      </c>
      <c r="U157" s="64">
        <v>-26.31600000000001</v>
      </c>
      <c r="V157" s="64">
        <v>-19.668000000000006</v>
      </c>
      <c r="W157" s="64">
        <v>-45.152999999999992</v>
      </c>
      <c r="X157" s="64">
        <v>-23.13199999999998</v>
      </c>
      <c r="Y157" s="64">
        <v>-294.31299999999993</v>
      </c>
      <c r="AA157" s="64">
        <v>-133.5</v>
      </c>
      <c r="AB157" s="60">
        <v>-160.81</v>
      </c>
      <c r="AD157" s="64">
        <v>-237.08</v>
      </c>
      <c r="AE157" s="60">
        <v>-57.23</v>
      </c>
    </row>
    <row r="158" spans="1:31" ht="12.95" customHeight="1" x14ac:dyDescent="0.2">
      <c r="A158" s="35"/>
      <c r="B158" s="35"/>
      <c r="C158" s="4"/>
      <c r="D158" s="4"/>
      <c r="F158" s="39" t="s">
        <v>223</v>
      </c>
      <c r="H158" s="56">
        <v>3.3055255302463046E-2</v>
      </c>
      <c r="I158" s="56">
        <v>2.6564764042389971E-2</v>
      </c>
      <c r="J158" s="56">
        <v>2.6564764042389971E-2</v>
      </c>
      <c r="K158" s="109">
        <v>2.0843016488777635E-2</v>
      </c>
      <c r="L158" s="109">
        <v>3.711101952147948E-2</v>
      </c>
      <c r="M158" s="56">
        <v>2.9443654767879791E-2</v>
      </c>
      <c r="N158" s="56">
        <v>6.0630540911338474E-2</v>
      </c>
      <c r="O158" s="56">
        <v>3.5467096869591243E-2</v>
      </c>
      <c r="P158" s="56">
        <v>3.6321276259674629E-2</v>
      </c>
      <c r="Q158" s="56">
        <v>1.4464368670445033E-2</v>
      </c>
      <c r="R158" s="56">
        <v>6.6955616021324618E-2</v>
      </c>
      <c r="S158" s="56">
        <v>7.3518644703162689E-2</v>
      </c>
      <c r="T158" s="56">
        <v>9.8845977932588286E-3</v>
      </c>
      <c r="U158" s="56">
        <v>4.8206454638378353E-2</v>
      </c>
      <c r="V158" s="56">
        <v>3.8924490288668158E-2</v>
      </c>
      <c r="W158" s="56">
        <v>7.7482359562901615E-2</v>
      </c>
      <c r="X158" s="56">
        <v>3.9507910292517656E-2</v>
      </c>
      <c r="Y158" s="56">
        <v>4.4487779778438562E-2</v>
      </c>
      <c r="AA158" s="56">
        <v>2.0843016488777635E-2</v>
      </c>
      <c r="AB158" s="57"/>
      <c r="AD158" s="56">
        <v>3.711101952147948E-2</v>
      </c>
      <c r="AE158" s="57"/>
    </row>
    <row r="159" spans="1:31" ht="6.95" customHeight="1" x14ac:dyDescent="0.2">
      <c r="C159" s="4"/>
      <c r="D159" s="4"/>
      <c r="F159" s="96"/>
      <c r="H159" s="16"/>
      <c r="I159" s="16"/>
      <c r="J159" s="16"/>
      <c r="K159" s="85"/>
      <c r="L159" s="85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AA159" s="16"/>
      <c r="AB159" s="20"/>
      <c r="AD159" s="16"/>
      <c r="AE159" s="20"/>
    </row>
    <row r="160" spans="1:31" ht="18" customHeight="1" x14ac:dyDescent="0.2">
      <c r="A160" s="30" t="s">
        <v>89</v>
      </c>
      <c r="B160" s="30" t="s">
        <v>18</v>
      </c>
      <c r="C160" s="4">
        <v>0.05</v>
      </c>
      <c r="D160" s="4">
        <v>0.05</v>
      </c>
      <c r="F160" s="106" t="s">
        <v>187</v>
      </c>
      <c r="H160" s="61">
        <v>-1.5429999999999999</v>
      </c>
      <c r="I160" s="61">
        <v>-1.766</v>
      </c>
      <c r="J160" s="61">
        <v>-1.766</v>
      </c>
      <c r="K160" s="86">
        <v>-2</v>
      </c>
      <c r="L160" s="86">
        <v>-2</v>
      </c>
      <c r="M160" s="61">
        <v>-4.7E-2</v>
      </c>
      <c r="N160" s="61">
        <v>-0.15799999999999997</v>
      </c>
      <c r="O160" s="61">
        <v>-0.23600000000000004</v>
      </c>
      <c r="P160" s="61">
        <v>-0.23200000000000004</v>
      </c>
      <c r="Q160" s="61">
        <v>-0.38100000000000001</v>
      </c>
      <c r="R160" s="61">
        <v>-0.45099999999999985</v>
      </c>
      <c r="S160" s="61">
        <v>-0.10000000000000009</v>
      </c>
      <c r="T160" s="61">
        <v>-0.18300000000000005</v>
      </c>
      <c r="U160" s="61">
        <v>-5.2999999999999936E-2</v>
      </c>
      <c r="V160" s="61">
        <v>0.15399999999999991</v>
      </c>
      <c r="W160" s="61">
        <v>-0.19499999999999984</v>
      </c>
      <c r="X160" s="61">
        <v>-1.6000000000000014E-2</v>
      </c>
      <c r="Y160" s="61">
        <v>-1.8979999999999999</v>
      </c>
      <c r="AA160" s="61">
        <v>-2</v>
      </c>
      <c r="AB160" s="60">
        <v>0.1</v>
      </c>
      <c r="AD160" s="61">
        <v>-2</v>
      </c>
      <c r="AE160" s="60">
        <v>0.1</v>
      </c>
    </row>
    <row r="161" spans="1:31" ht="18" customHeight="1" x14ac:dyDescent="0.2">
      <c r="A161" s="30" t="s">
        <v>75</v>
      </c>
      <c r="B161" s="30" t="s">
        <v>18</v>
      </c>
      <c r="C161" s="4">
        <v>-0.99514563106796117</v>
      </c>
      <c r="D161" s="4">
        <v>0.37878787878787878</v>
      </c>
      <c r="F161" s="106" t="s">
        <v>94</v>
      </c>
      <c r="H161" s="61">
        <v>-0.25</v>
      </c>
      <c r="I161" s="61">
        <v>-1.649</v>
      </c>
      <c r="J161" s="61">
        <v>-1.649</v>
      </c>
      <c r="K161" s="86">
        <v>0</v>
      </c>
      <c r="L161" s="86">
        <v>-0.66</v>
      </c>
      <c r="M161" s="61">
        <v>-0.13800000000000001</v>
      </c>
      <c r="N161" s="61">
        <v>0.27600000000000002</v>
      </c>
      <c r="O161" s="61">
        <v>-0.13800000000000001</v>
      </c>
      <c r="P161" s="61">
        <v>-0.13800000000000001</v>
      </c>
      <c r="Q161" s="61">
        <v>-0.13600000000000001</v>
      </c>
      <c r="R161" s="61">
        <v>-0.13799999999999996</v>
      </c>
      <c r="S161" s="61">
        <v>-0.13800000000000007</v>
      </c>
      <c r="T161" s="61">
        <v>0.27600000000000002</v>
      </c>
      <c r="U161" s="61">
        <v>-0.13799999999999996</v>
      </c>
      <c r="V161" s="61">
        <v>-0.13800000000000007</v>
      </c>
      <c r="W161" s="61">
        <v>0.41400000000000003</v>
      </c>
      <c r="X161" s="61">
        <v>-0.27599999999999997</v>
      </c>
      <c r="Y161" s="61">
        <v>-0.41199999999999998</v>
      </c>
      <c r="AA161" s="61">
        <v>0</v>
      </c>
      <c r="AB161" s="60">
        <v>-0.41</v>
      </c>
      <c r="AD161" s="61">
        <v>-0.66</v>
      </c>
      <c r="AE161" s="60">
        <v>0.25</v>
      </c>
    </row>
    <row r="162" spans="1:31" ht="18" customHeight="1" x14ac:dyDescent="0.2">
      <c r="A162" s="30" t="s">
        <v>91</v>
      </c>
      <c r="B162" s="30" t="s">
        <v>18</v>
      </c>
      <c r="C162" s="4">
        <v>0.1938</v>
      </c>
      <c r="D162" s="4">
        <v>2.3498062015503876E-2</v>
      </c>
      <c r="F162" s="106" t="s">
        <v>96</v>
      </c>
      <c r="H162" s="61">
        <v>-16.245000000000001</v>
      </c>
      <c r="I162" s="61">
        <v>-44.308</v>
      </c>
      <c r="J162" s="61">
        <v>-44.308</v>
      </c>
      <c r="K162" s="86">
        <v>-50</v>
      </c>
      <c r="L162" s="86">
        <v>-41.28</v>
      </c>
      <c r="M162" s="61">
        <v>-2.1110000000000002</v>
      </c>
      <c r="N162" s="61">
        <v>-3.6019999999999999</v>
      </c>
      <c r="O162" s="61">
        <v>-3.4970000000000008</v>
      </c>
      <c r="P162" s="61">
        <v>-1.7129999999999992</v>
      </c>
      <c r="Q162" s="61">
        <v>-2.6440000000000001</v>
      </c>
      <c r="R162" s="61">
        <v>-3.1460000000000008</v>
      </c>
      <c r="S162" s="61">
        <v>-3.445999999999998</v>
      </c>
      <c r="T162" s="61">
        <v>-4.5530000000000008</v>
      </c>
      <c r="U162" s="61">
        <v>-6.9909999999999997</v>
      </c>
      <c r="V162" s="61">
        <v>-2.1860000000000035</v>
      </c>
      <c r="W162" s="61">
        <v>-2.2339999999999947</v>
      </c>
      <c r="X162" s="61">
        <v>-4.1829999999999998</v>
      </c>
      <c r="Y162" s="61">
        <v>-40.305999999999997</v>
      </c>
      <c r="AA162" s="61">
        <v>-50</v>
      </c>
      <c r="AB162" s="60">
        <v>9.69</v>
      </c>
      <c r="AD162" s="61">
        <v>-41.28</v>
      </c>
      <c r="AE162" s="60">
        <v>0.97</v>
      </c>
    </row>
    <row r="163" spans="1:31" ht="18" customHeight="1" x14ac:dyDescent="0.2">
      <c r="A163" s="30" t="s">
        <v>74</v>
      </c>
      <c r="B163" s="30" t="s">
        <v>18</v>
      </c>
      <c r="C163" s="4">
        <v>0.28139534883720929</v>
      </c>
      <c r="D163" s="4">
        <v>0.1043478260869565</v>
      </c>
      <c r="F163" s="106" t="s">
        <v>97</v>
      </c>
      <c r="H163" s="61">
        <v>-7.2930000000000001</v>
      </c>
      <c r="I163" s="61">
        <v>-6.7930000000000001</v>
      </c>
      <c r="J163" s="61">
        <v>-6.7930000000000001</v>
      </c>
      <c r="K163" s="86">
        <v>-8.6</v>
      </c>
      <c r="L163" s="86">
        <v>-6.9</v>
      </c>
      <c r="M163" s="61">
        <v>-0.54200000000000004</v>
      </c>
      <c r="N163" s="61">
        <v>-0.53099999999999992</v>
      </c>
      <c r="O163" s="61">
        <v>-0.53200000000000003</v>
      </c>
      <c r="P163" s="61">
        <v>-0.53500000000000014</v>
      </c>
      <c r="Q163" s="61">
        <v>-0.50699999999999967</v>
      </c>
      <c r="R163" s="61">
        <v>-0.53700000000000037</v>
      </c>
      <c r="S163" s="61">
        <v>-0.57799999999999985</v>
      </c>
      <c r="T163" s="61">
        <v>-0.58599999999999985</v>
      </c>
      <c r="U163" s="61">
        <v>-0.58699999999999974</v>
      </c>
      <c r="V163" s="61">
        <v>-0.58499999999999996</v>
      </c>
      <c r="W163" s="61">
        <v>-0.56200000000000028</v>
      </c>
      <c r="X163" s="61">
        <v>-9.7000000000000419E-2</v>
      </c>
      <c r="Y163" s="61">
        <v>-6.1790000000000003</v>
      </c>
      <c r="AA163" s="61">
        <v>-8.6</v>
      </c>
      <c r="AB163" s="60">
        <v>2.42</v>
      </c>
      <c r="AD163" s="61">
        <v>-6.9000000000000012</v>
      </c>
      <c r="AE163" s="60">
        <v>0.72</v>
      </c>
    </row>
    <row r="164" spans="1:31" ht="18" customHeight="1" x14ac:dyDescent="0.2">
      <c r="A164" s="30" t="s">
        <v>92</v>
      </c>
      <c r="B164" s="30" t="s">
        <v>18</v>
      </c>
      <c r="C164" s="4">
        <v>-9.3167701863354033E-2</v>
      </c>
      <c r="D164" s="4">
        <v>0.38596491228070179</v>
      </c>
      <c r="F164" s="106" t="s">
        <v>98</v>
      </c>
      <c r="H164" s="61">
        <v>-1.1080000000000001</v>
      </c>
      <c r="I164" s="61">
        <v>-0.64500000000000002</v>
      </c>
      <c r="J164" s="61">
        <v>-0.64500000000000002</v>
      </c>
      <c r="K164" s="86">
        <v>-0.32200000000000001</v>
      </c>
      <c r="L164" s="86">
        <v>-0.56999999999999995</v>
      </c>
      <c r="M164" s="61">
        <v>-2.9000000000000001E-2</v>
      </c>
      <c r="N164" s="61">
        <v>-2.9000000000000001E-2</v>
      </c>
      <c r="O164" s="61">
        <v>-3.0999999999999993E-2</v>
      </c>
      <c r="P164" s="61">
        <v>-2.8999999999999998E-2</v>
      </c>
      <c r="Q164" s="61">
        <v>-2.8999999999999998E-2</v>
      </c>
      <c r="R164" s="61">
        <v>-3.1E-2</v>
      </c>
      <c r="S164" s="61">
        <v>-2.8999999999999998E-2</v>
      </c>
      <c r="T164" s="61">
        <v>-2.8999999999999998E-2</v>
      </c>
      <c r="U164" s="61">
        <v>-3.0000000000000027E-2</v>
      </c>
      <c r="V164" s="61">
        <v>-2.899999999999997E-2</v>
      </c>
      <c r="W164" s="61">
        <v>-2.9000000000000026E-2</v>
      </c>
      <c r="X164" s="61">
        <v>-2.9999999999999971E-2</v>
      </c>
      <c r="Y164" s="61">
        <v>-0.35399999999999998</v>
      </c>
      <c r="AA164" s="61">
        <v>-0.32200000000000001</v>
      </c>
      <c r="AB164" s="60">
        <v>-0.03</v>
      </c>
      <c r="AD164" s="61">
        <v>-0.56999999999999995</v>
      </c>
      <c r="AE164" s="60">
        <v>0.22</v>
      </c>
    </row>
    <row r="165" spans="1:31" ht="18" customHeight="1" x14ac:dyDescent="0.2">
      <c r="A165" s="30" t="s">
        <v>125</v>
      </c>
      <c r="B165" s="30" t="s">
        <v>18</v>
      </c>
      <c r="C165" s="4">
        <v>1</v>
      </c>
      <c r="D165" s="4">
        <v>0</v>
      </c>
      <c r="F165" s="106" t="s">
        <v>126</v>
      </c>
      <c r="H165" s="61">
        <v>0</v>
      </c>
      <c r="I165" s="61">
        <v>-0.38200000000000001</v>
      </c>
      <c r="J165" s="61">
        <v>-0.38200000000000001</v>
      </c>
      <c r="K165" s="86">
        <v>-1</v>
      </c>
      <c r="L165" s="86">
        <v>0</v>
      </c>
      <c r="M165" s="61">
        <v>0</v>
      </c>
      <c r="N165" s="61">
        <v>0</v>
      </c>
      <c r="O165" s="61">
        <v>0</v>
      </c>
      <c r="P165" s="61">
        <v>0</v>
      </c>
      <c r="Q165" s="61">
        <v>0</v>
      </c>
      <c r="R165" s="61">
        <v>0</v>
      </c>
      <c r="S165" s="61">
        <v>0</v>
      </c>
      <c r="T165" s="61">
        <v>0</v>
      </c>
      <c r="U165" s="61">
        <v>0</v>
      </c>
      <c r="V165" s="61">
        <v>0</v>
      </c>
      <c r="W165" s="61">
        <v>0</v>
      </c>
      <c r="X165" s="61">
        <v>0</v>
      </c>
      <c r="Y165" s="61">
        <v>0</v>
      </c>
      <c r="AA165" s="61">
        <v>-1</v>
      </c>
      <c r="AB165" s="60">
        <v>1</v>
      </c>
      <c r="AD165" s="61">
        <v>0</v>
      </c>
      <c r="AE165" s="60">
        <v>0</v>
      </c>
    </row>
    <row r="166" spans="1:31" ht="18" hidden="1" customHeight="1" outlineLevel="1" x14ac:dyDescent="0.2">
      <c r="A166" s="30" t="s">
        <v>73</v>
      </c>
      <c r="B166" s="30" t="s">
        <v>18</v>
      </c>
      <c r="C166" s="4">
        <v>0</v>
      </c>
      <c r="D166" s="4">
        <v>0</v>
      </c>
      <c r="F166" s="38" t="s">
        <v>72</v>
      </c>
      <c r="G166" s="34"/>
      <c r="H166" s="66">
        <v>0</v>
      </c>
      <c r="I166" s="66">
        <v>0</v>
      </c>
      <c r="J166" s="66">
        <v>0</v>
      </c>
      <c r="K166" s="86">
        <v>0</v>
      </c>
      <c r="L166" s="8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34"/>
      <c r="AA166" s="66">
        <v>0</v>
      </c>
      <c r="AB166" s="60">
        <v>0</v>
      </c>
      <c r="AC166" s="34"/>
      <c r="AD166" s="66">
        <v>0</v>
      </c>
      <c r="AE166" s="60">
        <v>0</v>
      </c>
    </row>
    <row r="167" spans="1:31" ht="18" hidden="1" customHeight="1" outlineLevel="1" x14ac:dyDescent="0.2">
      <c r="A167" s="30" t="s">
        <v>129</v>
      </c>
      <c r="B167" s="30" t="s">
        <v>18</v>
      </c>
      <c r="C167" s="4">
        <v>-1</v>
      </c>
      <c r="D167" s="4">
        <v>0</v>
      </c>
      <c r="F167" s="38" t="s">
        <v>190</v>
      </c>
      <c r="G167" s="34"/>
      <c r="H167" s="66">
        <v>0</v>
      </c>
      <c r="I167" s="66">
        <v>0</v>
      </c>
      <c r="J167" s="66">
        <v>0</v>
      </c>
      <c r="K167" s="86">
        <v>1</v>
      </c>
      <c r="L167" s="8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34"/>
      <c r="AA167" s="66">
        <v>1</v>
      </c>
      <c r="AB167" s="60">
        <v>-1</v>
      </c>
      <c r="AC167" s="34"/>
      <c r="AD167" s="66">
        <v>0</v>
      </c>
      <c r="AE167" s="60">
        <v>0</v>
      </c>
    </row>
    <row r="168" spans="1:31" ht="18" hidden="1" customHeight="1" outlineLevel="1" x14ac:dyDescent="0.2">
      <c r="A168" s="30" t="s">
        <v>172</v>
      </c>
      <c r="B168" s="30" t="s">
        <v>18</v>
      </c>
      <c r="C168" s="4">
        <v>0</v>
      </c>
      <c r="D168" s="4">
        <v>0</v>
      </c>
      <c r="F168" s="38" t="s">
        <v>173</v>
      </c>
      <c r="G168" s="34"/>
      <c r="H168" s="66">
        <v>0</v>
      </c>
      <c r="I168" s="66">
        <v>0</v>
      </c>
      <c r="J168" s="66">
        <v>0</v>
      </c>
      <c r="K168" s="86">
        <v>0</v>
      </c>
      <c r="L168" s="86">
        <v>0</v>
      </c>
      <c r="M168" s="66">
        <v>0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34"/>
      <c r="AA168" s="66">
        <v>0</v>
      </c>
      <c r="AB168" s="60">
        <v>0</v>
      </c>
      <c r="AC168" s="34"/>
      <c r="AD168" s="66">
        <v>0</v>
      </c>
      <c r="AE168" s="60">
        <v>0</v>
      </c>
    </row>
    <row r="169" spans="1:31" ht="18" hidden="1" customHeight="1" outlineLevel="1" x14ac:dyDescent="0.2">
      <c r="A169" s="30" t="s">
        <v>88</v>
      </c>
      <c r="B169" s="30" t="s">
        <v>18</v>
      </c>
      <c r="C169" s="4">
        <v>0</v>
      </c>
      <c r="D169" s="4">
        <v>0</v>
      </c>
      <c r="F169" s="38" t="s">
        <v>93</v>
      </c>
      <c r="G169" s="34"/>
      <c r="H169" s="66">
        <v>0</v>
      </c>
      <c r="I169" s="66">
        <v>0</v>
      </c>
      <c r="J169" s="66">
        <v>0</v>
      </c>
      <c r="K169" s="86">
        <v>0</v>
      </c>
      <c r="L169" s="8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34"/>
      <c r="AA169" s="66">
        <v>0</v>
      </c>
      <c r="AB169" s="60">
        <v>0</v>
      </c>
      <c r="AC169" s="34"/>
      <c r="AD169" s="66">
        <v>0</v>
      </c>
      <c r="AE169" s="60">
        <v>0</v>
      </c>
    </row>
    <row r="170" spans="1:31" ht="18" hidden="1" customHeight="1" outlineLevel="1" x14ac:dyDescent="0.2">
      <c r="A170" s="30" t="s">
        <v>174</v>
      </c>
      <c r="B170" s="30" t="s">
        <v>18</v>
      </c>
      <c r="C170" s="4">
        <v>0</v>
      </c>
      <c r="D170" s="4">
        <v>0</v>
      </c>
      <c r="F170" s="38" t="s">
        <v>175</v>
      </c>
      <c r="G170" s="34"/>
      <c r="H170" s="66">
        <v>0</v>
      </c>
      <c r="I170" s="66">
        <v>0</v>
      </c>
      <c r="J170" s="66">
        <v>0</v>
      </c>
      <c r="K170" s="86">
        <v>0</v>
      </c>
      <c r="L170" s="8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34"/>
      <c r="AA170" s="66">
        <v>0</v>
      </c>
      <c r="AB170" s="60">
        <v>0</v>
      </c>
      <c r="AC170" s="34"/>
      <c r="AD170" s="66">
        <v>0</v>
      </c>
      <c r="AE170" s="60">
        <v>0</v>
      </c>
    </row>
    <row r="171" spans="1:31" ht="18" hidden="1" customHeight="1" outlineLevel="1" x14ac:dyDescent="0.2">
      <c r="A171" s="30" t="s">
        <v>130</v>
      </c>
      <c r="B171" s="30" t="s">
        <v>18</v>
      </c>
      <c r="C171" s="4">
        <v>0.46333333333333332</v>
      </c>
      <c r="D171" s="4">
        <v>0.19500000000000001</v>
      </c>
      <c r="F171" s="38" t="s">
        <v>176</v>
      </c>
      <c r="G171" s="34"/>
      <c r="H171" s="66">
        <v>-1.395</v>
      </c>
      <c r="I171" s="66">
        <v>-2.6</v>
      </c>
      <c r="J171" s="66">
        <v>-2.6</v>
      </c>
      <c r="K171" s="86">
        <v>-3</v>
      </c>
      <c r="L171" s="86">
        <v>-2</v>
      </c>
      <c r="M171" s="66">
        <v>0</v>
      </c>
      <c r="N171" s="66">
        <v>0</v>
      </c>
      <c r="O171" s="66">
        <v>0</v>
      </c>
      <c r="P171" s="66">
        <v>-0.9</v>
      </c>
      <c r="Q171" s="66">
        <v>0</v>
      </c>
      <c r="R171" s="66">
        <v>0</v>
      </c>
      <c r="S171" s="66">
        <v>0</v>
      </c>
      <c r="T171" s="66">
        <v>0</v>
      </c>
      <c r="U171" s="66">
        <v>-0.71299999999999997</v>
      </c>
      <c r="V171" s="66">
        <v>0</v>
      </c>
      <c r="W171" s="66">
        <v>0</v>
      </c>
      <c r="X171" s="66">
        <v>0</v>
      </c>
      <c r="Y171" s="66">
        <v>-1.613</v>
      </c>
      <c r="Z171" s="34"/>
      <c r="AA171" s="66">
        <v>-3</v>
      </c>
      <c r="AB171" s="60">
        <v>1.39</v>
      </c>
      <c r="AC171" s="34"/>
      <c r="AD171" s="66">
        <v>-2</v>
      </c>
      <c r="AE171" s="60">
        <v>0.39</v>
      </c>
    </row>
    <row r="172" spans="1:31" ht="18" hidden="1" customHeight="1" outlineLevel="1" x14ac:dyDescent="0.2">
      <c r="A172" s="30" t="s">
        <v>177</v>
      </c>
      <c r="B172" s="30" t="s">
        <v>18</v>
      </c>
      <c r="C172" s="4">
        <v>0</v>
      </c>
      <c r="D172" s="4">
        <v>0</v>
      </c>
      <c r="F172" s="38" t="s">
        <v>178</v>
      </c>
      <c r="G172" s="34"/>
      <c r="H172" s="66">
        <v>-3.5999999999999997E-2</v>
      </c>
      <c r="I172" s="66">
        <v>0</v>
      </c>
      <c r="J172" s="66">
        <v>0</v>
      </c>
      <c r="K172" s="86">
        <v>0</v>
      </c>
      <c r="L172" s="8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34"/>
      <c r="AA172" s="66">
        <v>0</v>
      </c>
      <c r="AB172" s="60">
        <v>0</v>
      </c>
      <c r="AC172" s="34"/>
      <c r="AD172" s="66">
        <v>0</v>
      </c>
      <c r="AE172" s="60">
        <v>0</v>
      </c>
    </row>
    <row r="173" spans="1:31" ht="18" hidden="1" customHeight="1" outlineLevel="1" x14ac:dyDescent="0.2">
      <c r="A173" s="30" t="s">
        <v>179</v>
      </c>
      <c r="B173" s="30" t="s">
        <v>18</v>
      </c>
      <c r="C173" s="4">
        <v>0</v>
      </c>
      <c r="D173" s="4">
        <v>0</v>
      </c>
      <c r="F173" s="38" t="s">
        <v>180</v>
      </c>
      <c r="G173" s="34"/>
      <c r="H173" s="66">
        <v>0</v>
      </c>
      <c r="I173" s="66">
        <v>0</v>
      </c>
      <c r="J173" s="66">
        <v>0</v>
      </c>
      <c r="K173" s="86">
        <v>0</v>
      </c>
      <c r="L173" s="8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34"/>
      <c r="AA173" s="66">
        <v>0</v>
      </c>
      <c r="AB173" s="60">
        <v>0</v>
      </c>
      <c r="AC173" s="34"/>
      <c r="AD173" s="66">
        <v>0</v>
      </c>
      <c r="AE173" s="60">
        <v>0</v>
      </c>
    </row>
    <row r="174" spans="1:31" ht="18" hidden="1" customHeight="1" outlineLevel="1" x14ac:dyDescent="0.2">
      <c r="A174" s="30" t="s">
        <v>78</v>
      </c>
      <c r="B174" s="30" t="s">
        <v>18</v>
      </c>
      <c r="C174" s="4">
        <v>0</v>
      </c>
      <c r="D174" s="4">
        <v>0</v>
      </c>
      <c r="F174" s="38" t="s">
        <v>77</v>
      </c>
      <c r="G174" s="34"/>
      <c r="H174" s="66">
        <v>0</v>
      </c>
      <c r="I174" s="66">
        <v>0</v>
      </c>
      <c r="J174" s="66">
        <v>0</v>
      </c>
      <c r="K174" s="86">
        <v>0</v>
      </c>
      <c r="L174" s="8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34"/>
      <c r="AA174" s="66">
        <v>0</v>
      </c>
      <c r="AB174" s="60">
        <v>0</v>
      </c>
      <c r="AC174" s="34"/>
      <c r="AD174" s="66">
        <v>0</v>
      </c>
      <c r="AE174" s="60">
        <v>0</v>
      </c>
    </row>
    <row r="175" spans="1:31" ht="18" hidden="1" customHeight="1" outlineLevel="1" x14ac:dyDescent="0.2">
      <c r="A175" s="30" t="s">
        <v>193</v>
      </c>
      <c r="B175" s="30" t="s">
        <v>18</v>
      </c>
      <c r="C175" s="4">
        <v>0</v>
      </c>
      <c r="D175" s="4">
        <v>0</v>
      </c>
      <c r="F175" s="38" t="s">
        <v>268</v>
      </c>
      <c r="G175" s="34"/>
      <c r="H175" s="66">
        <v>0</v>
      </c>
      <c r="I175" s="66">
        <v>0</v>
      </c>
      <c r="J175" s="66">
        <v>0</v>
      </c>
      <c r="K175" s="86">
        <v>0</v>
      </c>
      <c r="L175" s="8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34"/>
      <c r="AA175" s="66">
        <v>0</v>
      </c>
      <c r="AB175" s="60">
        <v>0</v>
      </c>
      <c r="AC175" s="34"/>
      <c r="AD175" s="66">
        <v>0</v>
      </c>
      <c r="AE175" s="60">
        <v>0</v>
      </c>
    </row>
    <row r="176" spans="1:31" ht="18" hidden="1" customHeight="1" outlineLevel="1" x14ac:dyDescent="0.2">
      <c r="A176" s="30" t="s">
        <v>181</v>
      </c>
      <c r="B176" s="30" t="s">
        <v>18</v>
      </c>
      <c r="C176" s="4">
        <v>0</v>
      </c>
      <c r="D176" s="4">
        <v>0</v>
      </c>
      <c r="F176" s="38" t="s">
        <v>182</v>
      </c>
      <c r="G176" s="34"/>
      <c r="H176" s="66">
        <v>0</v>
      </c>
      <c r="I176" s="66">
        <v>0</v>
      </c>
      <c r="J176" s="66">
        <v>0</v>
      </c>
      <c r="K176" s="86">
        <v>0</v>
      </c>
      <c r="L176" s="8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34"/>
      <c r="AA176" s="66">
        <v>0</v>
      </c>
      <c r="AB176" s="60">
        <v>0</v>
      </c>
      <c r="AC176" s="34"/>
      <c r="AD176" s="66">
        <v>0</v>
      </c>
      <c r="AE176" s="60">
        <v>0</v>
      </c>
    </row>
    <row r="177" spans="1:31" ht="18" hidden="1" customHeight="1" outlineLevel="1" x14ac:dyDescent="0.2">
      <c r="A177" s="30" t="s">
        <v>90</v>
      </c>
      <c r="B177" s="30" t="s">
        <v>18</v>
      </c>
      <c r="C177" s="4">
        <v>0.56666666666666676</v>
      </c>
      <c r="D177" s="4">
        <v>0.13333333333333333</v>
      </c>
      <c r="F177" s="38" t="s">
        <v>95</v>
      </c>
      <c r="G177" s="34"/>
      <c r="H177" s="66">
        <v>-0.25</v>
      </c>
      <c r="I177" s="66">
        <v>-0.3</v>
      </c>
      <c r="J177" s="66">
        <v>-0.3</v>
      </c>
      <c r="K177" s="86">
        <v>-0.3</v>
      </c>
      <c r="L177" s="86">
        <v>-0.15</v>
      </c>
      <c r="M177" s="66">
        <v>-0.13500000000000001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-0.13500000000000001</v>
      </c>
      <c r="Z177" s="34"/>
      <c r="AA177" s="66">
        <v>-0.3</v>
      </c>
      <c r="AB177" s="60">
        <v>0.17</v>
      </c>
      <c r="AC177" s="34"/>
      <c r="AD177" s="66">
        <v>-0.15</v>
      </c>
      <c r="AE177" s="60">
        <v>0.02</v>
      </c>
    </row>
    <row r="178" spans="1:31" ht="18" hidden="1" customHeight="1" outlineLevel="1" x14ac:dyDescent="0.2">
      <c r="A178" s="30" t="s">
        <v>127</v>
      </c>
      <c r="B178" s="30" t="s">
        <v>18</v>
      </c>
      <c r="C178" s="4">
        <v>0</v>
      </c>
      <c r="D178" s="4">
        <v>0</v>
      </c>
      <c r="F178" s="38" t="s">
        <v>128</v>
      </c>
      <c r="G178" s="34"/>
      <c r="H178" s="66">
        <v>0</v>
      </c>
      <c r="I178" s="66">
        <v>0</v>
      </c>
      <c r="J178" s="66">
        <v>0</v>
      </c>
      <c r="K178" s="86">
        <v>0</v>
      </c>
      <c r="L178" s="86">
        <v>0</v>
      </c>
      <c r="M178" s="66">
        <v>0</v>
      </c>
      <c r="N178" s="66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34"/>
      <c r="AA178" s="66">
        <v>0</v>
      </c>
      <c r="AB178" s="60">
        <v>0</v>
      </c>
      <c r="AC178" s="34"/>
      <c r="AD178" s="66">
        <v>0</v>
      </c>
      <c r="AE178" s="60">
        <v>0</v>
      </c>
    </row>
    <row r="179" spans="1:31" s="209" customFormat="1" ht="18" hidden="1" customHeight="1" outlineLevel="1" x14ac:dyDescent="0.2">
      <c r="A179" s="230" t="s">
        <v>261</v>
      </c>
      <c r="B179" s="210" t="s">
        <v>18</v>
      </c>
      <c r="C179" s="208">
        <v>0</v>
      </c>
      <c r="D179" s="208">
        <v>0</v>
      </c>
      <c r="F179" s="221" t="s">
        <v>262</v>
      </c>
      <c r="G179" s="211"/>
      <c r="H179" s="215">
        <v>0</v>
      </c>
      <c r="I179" s="215">
        <v>0</v>
      </c>
      <c r="J179" s="215">
        <v>0</v>
      </c>
      <c r="K179" s="216">
        <v>0</v>
      </c>
      <c r="L179" s="216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  <c r="R179" s="215">
        <v>0</v>
      </c>
      <c r="S179" s="215">
        <v>0</v>
      </c>
      <c r="T179" s="215">
        <v>0</v>
      </c>
      <c r="U179" s="215">
        <v>0</v>
      </c>
      <c r="V179" s="215">
        <v>0</v>
      </c>
      <c r="W179" s="215">
        <v>0</v>
      </c>
      <c r="X179" s="215">
        <v>0</v>
      </c>
      <c r="Y179" s="215">
        <v>0</v>
      </c>
      <c r="Z179" s="211"/>
      <c r="AA179" s="215">
        <v>0</v>
      </c>
      <c r="AB179" s="214">
        <v>0</v>
      </c>
      <c r="AC179" s="211"/>
      <c r="AD179" s="215">
        <v>0</v>
      </c>
      <c r="AE179" s="214">
        <v>0</v>
      </c>
    </row>
    <row r="180" spans="1:31" ht="18" hidden="1" customHeight="1" outlineLevel="1" x14ac:dyDescent="0.2">
      <c r="A180" s="30" t="s">
        <v>199</v>
      </c>
      <c r="B180" s="30" t="s">
        <v>18</v>
      </c>
      <c r="C180" s="4">
        <v>0</v>
      </c>
      <c r="D180" s="4">
        <v>0</v>
      </c>
      <c r="F180" s="38" t="s">
        <v>184</v>
      </c>
      <c r="G180" s="34"/>
      <c r="H180" s="66">
        <v>0</v>
      </c>
      <c r="I180" s="66">
        <v>0</v>
      </c>
      <c r="J180" s="66">
        <v>0</v>
      </c>
      <c r="K180" s="86">
        <v>0</v>
      </c>
      <c r="L180" s="8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34"/>
      <c r="AA180" s="66">
        <v>0</v>
      </c>
      <c r="AB180" s="60">
        <v>0</v>
      </c>
      <c r="AC180" s="34"/>
      <c r="AD180" s="66">
        <v>0</v>
      </c>
      <c r="AE180" s="60">
        <v>0</v>
      </c>
    </row>
    <row r="181" spans="1:31" ht="18" hidden="1" customHeight="1" outlineLevel="1" x14ac:dyDescent="0.2">
      <c r="A181" s="30" t="s">
        <v>263</v>
      </c>
      <c r="B181" s="30" t="s">
        <v>18</v>
      </c>
      <c r="C181" s="4">
        <v>0</v>
      </c>
      <c r="D181" s="4">
        <v>0</v>
      </c>
      <c r="F181" s="38" t="s">
        <v>273</v>
      </c>
      <c r="G181" s="34"/>
      <c r="H181" s="66">
        <v>0</v>
      </c>
      <c r="I181" s="66">
        <v>0</v>
      </c>
      <c r="J181" s="66">
        <v>0</v>
      </c>
      <c r="K181" s="86">
        <v>0</v>
      </c>
      <c r="L181" s="8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34"/>
      <c r="AA181" s="66">
        <v>0</v>
      </c>
      <c r="AB181" s="60">
        <v>0</v>
      </c>
      <c r="AC181" s="34"/>
      <c r="AD181" s="66">
        <v>0</v>
      </c>
      <c r="AE181" s="60">
        <v>0</v>
      </c>
    </row>
    <row r="182" spans="1:31" ht="18" hidden="1" customHeight="1" outlineLevel="1" x14ac:dyDescent="0.2">
      <c r="A182" s="30" t="s">
        <v>195</v>
      </c>
      <c r="B182" s="30" t="s">
        <v>18</v>
      </c>
      <c r="C182" s="4">
        <v>0</v>
      </c>
      <c r="D182" s="4">
        <v>0</v>
      </c>
      <c r="F182" s="38" t="s">
        <v>196</v>
      </c>
      <c r="G182" s="34"/>
      <c r="H182" s="66">
        <v>0</v>
      </c>
      <c r="I182" s="66">
        <v>0</v>
      </c>
      <c r="J182" s="66">
        <v>0</v>
      </c>
      <c r="K182" s="86">
        <v>0</v>
      </c>
      <c r="L182" s="8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34"/>
      <c r="AA182" s="66">
        <v>0</v>
      </c>
      <c r="AB182" s="60">
        <v>0</v>
      </c>
      <c r="AC182" s="34"/>
      <c r="AD182" s="66">
        <v>0</v>
      </c>
      <c r="AE182" s="60">
        <v>0</v>
      </c>
    </row>
    <row r="183" spans="1:31" ht="18" hidden="1" customHeight="1" outlineLevel="1" x14ac:dyDescent="0.2">
      <c r="A183" s="30" t="s">
        <v>197</v>
      </c>
      <c r="B183" s="30" t="s">
        <v>18</v>
      </c>
      <c r="C183" s="4">
        <v>0</v>
      </c>
      <c r="D183" s="4">
        <v>0</v>
      </c>
      <c r="F183" s="38" t="s">
        <v>267</v>
      </c>
      <c r="G183" s="34"/>
      <c r="H183" s="66">
        <v>0</v>
      </c>
      <c r="I183" s="66">
        <v>0</v>
      </c>
      <c r="J183" s="66">
        <v>0</v>
      </c>
      <c r="K183" s="86">
        <v>0</v>
      </c>
      <c r="L183" s="8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34"/>
      <c r="AA183" s="66">
        <v>0</v>
      </c>
      <c r="AB183" s="60">
        <v>0</v>
      </c>
      <c r="AC183" s="34"/>
      <c r="AD183" s="66">
        <v>0</v>
      </c>
      <c r="AE183" s="60">
        <v>0</v>
      </c>
    </row>
    <row r="184" spans="1:31" s="237" customFormat="1" ht="18" hidden="1" customHeight="1" outlineLevel="1" x14ac:dyDescent="0.2">
      <c r="A184" s="254" t="s">
        <v>445</v>
      </c>
      <c r="B184" s="238" t="s">
        <v>18</v>
      </c>
      <c r="C184" s="236">
        <v>-0.98654708520179368</v>
      </c>
      <c r="D184" s="236">
        <v>-6.3333333333333339</v>
      </c>
      <c r="F184" s="246" t="s">
        <v>444</v>
      </c>
      <c r="G184" s="239"/>
      <c r="H184" s="241">
        <v>0</v>
      </c>
      <c r="I184" s="241">
        <v>0</v>
      </c>
      <c r="J184" s="241">
        <v>0</v>
      </c>
      <c r="K184" s="242">
        <v>0</v>
      </c>
      <c r="L184" s="242">
        <v>-0.03</v>
      </c>
      <c r="M184" s="241">
        <v>0</v>
      </c>
      <c r="N184" s="241">
        <v>0</v>
      </c>
      <c r="O184" s="241">
        <v>0</v>
      </c>
      <c r="P184" s="241">
        <v>0</v>
      </c>
      <c r="Q184" s="241">
        <v>0</v>
      </c>
      <c r="R184" s="241">
        <v>0</v>
      </c>
      <c r="S184" s="241">
        <v>0</v>
      </c>
      <c r="T184" s="241">
        <v>-0.223</v>
      </c>
      <c r="U184" s="241">
        <v>0</v>
      </c>
      <c r="V184" s="241">
        <v>0</v>
      </c>
      <c r="W184" s="241">
        <v>0</v>
      </c>
      <c r="X184" s="241">
        <v>0</v>
      </c>
      <c r="Y184" s="241">
        <v>-0.223</v>
      </c>
      <c r="Z184" s="239"/>
      <c r="AA184" s="241">
        <v>0</v>
      </c>
      <c r="AB184" s="240">
        <v>-0.22</v>
      </c>
      <c r="AC184" s="239"/>
      <c r="AD184" s="241">
        <v>-0.03</v>
      </c>
      <c r="AE184" s="240">
        <v>-0.19</v>
      </c>
    </row>
    <row r="185" spans="1:31" ht="18" hidden="1" customHeight="1" outlineLevel="1" x14ac:dyDescent="0.2">
      <c r="A185" s="30" t="s">
        <v>257</v>
      </c>
      <c r="B185" s="30" t="s">
        <v>18</v>
      </c>
      <c r="C185" s="4">
        <v>0</v>
      </c>
      <c r="D185" s="4">
        <v>0</v>
      </c>
      <c r="F185" s="104" t="s">
        <v>260</v>
      </c>
      <c r="G185" s="36"/>
      <c r="H185" s="65">
        <v>0</v>
      </c>
      <c r="I185" s="65">
        <v>0</v>
      </c>
      <c r="J185" s="65">
        <v>0</v>
      </c>
      <c r="K185" s="90">
        <v>0</v>
      </c>
      <c r="L185" s="90">
        <v>0</v>
      </c>
      <c r="M185" s="65">
        <v>0</v>
      </c>
      <c r="N185" s="65">
        <v>0</v>
      </c>
      <c r="O185" s="65">
        <v>0</v>
      </c>
      <c r="P185" s="65">
        <v>0</v>
      </c>
      <c r="Q185" s="65">
        <v>0</v>
      </c>
      <c r="R185" s="65">
        <v>0</v>
      </c>
      <c r="S185" s="65">
        <v>0</v>
      </c>
      <c r="T185" s="65">
        <v>0</v>
      </c>
      <c r="U185" s="65">
        <v>0</v>
      </c>
      <c r="V185" s="65">
        <v>0</v>
      </c>
      <c r="W185" s="65">
        <v>0</v>
      </c>
      <c r="X185" s="65">
        <v>0</v>
      </c>
      <c r="Y185" s="65">
        <v>0</v>
      </c>
      <c r="Z185" s="36"/>
      <c r="AA185" s="65">
        <v>0</v>
      </c>
      <c r="AB185" s="60">
        <v>0</v>
      </c>
      <c r="AC185" s="36"/>
      <c r="AD185" s="65">
        <v>0</v>
      </c>
      <c r="AE185" s="60">
        <v>0</v>
      </c>
    </row>
    <row r="186" spans="1:31" ht="18" hidden="1" customHeight="1" outlineLevel="1" x14ac:dyDescent="0.2">
      <c r="A186" s="30" t="s">
        <v>200</v>
      </c>
      <c r="B186" s="30" t="s">
        <v>18</v>
      </c>
      <c r="C186" s="4">
        <v>0</v>
      </c>
      <c r="D186" s="4">
        <v>0</v>
      </c>
      <c r="F186" s="104" t="s">
        <v>183</v>
      </c>
      <c r="G186" s="36"/>
      <c r="H186" s="65">
        <v>-4.0000000000000001E-3</v>
      </c>
      <c r="I186" s="65">
        <v>2.5000000000000001E-2</v>
      </c>
      <c r="J186" s="65">
        <v>2.5000000000000001E-2</v>
      </c>
      <c r="K186" s="90">
        <v>0</v>
      </c>
      <c r="L186" s="90">
        <v>0</v>
      </c>
      <c r="M186" s="65">
        <v>0</v>
      </c>
      <c r="N186" s="65">
        <v>0</v>
      </c>
      <c r="O186" s="65">
        <v>0</v>
      </c>
      <c r="P186" s="65">
        <v>0</v>
      </c>
      <c r="Q186" s="65">
        <v>0</v>
      </c>
      <c r="R186" s="65">
        <v>0</v>
      </c>
      <c r="S186" s="65">
        <v>0</v>
      </c>
      <c r="T186" s="65">
        <v>0</v>
      </c>
      <c r="U186" s="65">
        <v>0</v>
      </c>
      <c r="V186" s="65">
        <v>0</v>
      </c>
      <c r="W186" s="65">
        <v>0</v>
      </c>
      <c r="X186" s="65">
        <v>0</v>
      </c>
      <c r="Y186" s="65">
        <v>0</v>
      </c>
      <c r="Z186" s="36"/>
      <c r="AA186" s="65">
        <v>0</v>
      </c>
      <c r="AB186" s="60">
        <v>0</v>
      </c>
      <c r="AC186" s="36"/>
      <c r="AD186" s="65">
        <v>0</v>
      </c>
      <c r="AE186" s="60">
        <v>0</v>
      </c>
    </row>
    <row r="187" spans="1:31" ht="18" hidden="1" customHeight="1" outlineLevel="1" x14ac:dyDescent="0.2">
      <c r="A187" s="30" t="s">
        <v>256</v>
      </c>
      <c r="B187" s="30" t="s">
        <v>18</v>
      </c>
      <c r="C187" s="4">
        <v>0</v>
      </c>
      <c r="D187" s="4">
        <v>0</v>
      </c>
      <c r="F187" s="104" t="s">
        <v>259</v>
      </c>
      <c r="G187" s="36"/>
      <c r="H187" s="65">
        <v>0</v>
      </c>
      <c r="I187" s="65">
        <v>-0.79700000000000004</v>
      </c>
      <c r="J187" s="65">
        <v>-0.79700000000000004</v>
      </c>
      <c r="K187" s="90">
        <v>0</v>
      </c>
      <c r="L187" s="90">
        <v>0</v>
      </c>
      <c r="M187" s="65">
        <v>0</v>
      </c>
      <c r="N187" s="65">
        <v>0</v>
      </c>
      <c r="O187" s="65">
        <v>0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36"/>
      <c r="AA187" s="65">
        <v>0</v>
      </c>
      <c r="AB187" s="60">
        <v>0</v>
      </c>
      <c r="AC187" s="36"/>
      <c r="AD187" s="65">
        <v>0</v>
      </c>
      <c r="AE187" s="60">
        <v>0</v>
      </c>
    </row>
    <row r="188" spans="1:31" ht="18" hidden="1" customHeight="1" outlineLevel="1" x14ac:dyDescent="0.2">
      <c r="A188" s="30" t="s">
        <v>185</v>
      </c>
      <c r="B188" s="30" t="s">
        <v>18</v>
      </c>
      <c r="C188" s="4">
        <v>0</v>
      </c>
      <c r="D188" s="4">
        <v>0</v>
      </c>
      <c r="F188" s="38" t="s">
        <v>186</v>
      </c>
      <c r="G188" s="34"/>
      <c r="H188" s="66">
        <v>0</v>
      </c>
      <c r="I188" s="66">
        <v>0</v>
      </c>
      <c r="J188" s="66">
        <v>0</v>
      </c>
      <c r="K188" s="86">
        <v>0</v>
      </c>
      <c r="L188" s="86">
        <v>0</v>
      </c>
      <c r="M188" s="66">
        <v>0</v>
      </c>
      <c r="N188" s="66">
        <v>0</v>
      </c>
      <c r="O188" s="66">
        <v>0</v>
      </c>
      <c r="P188" s="66">
        <v>0</v>
      </c>
      <c r="Q188" s="66">
        <v>0</v>
      </c>
      <c r="R188" s="66">
        <v>0</v>
      </c>
      <c r="S188" s="66">
        <v>0</v>
      </c>
      <c r="T188" s="66">
        <v>0</v>
      </c>
      <c r="U188" s="66">
        <v>0</v>
      </c>
      <c r="V188" s="66">
        <v>0</v>
      </c>
      <c r="W188" s="66">
        <v>0</v>
      </c>
      <c r="X188" s="66">
        <v>0</v>
      </c>
      <c r="Y188" s="66">
        <v>0</v>
      </c>
      <c r="Z188" s="34"/>
      <c r="AA188" s="66">
        <v>0</v>
      </c>
      <c r="AB188" s="60">
        <v>0</v>
      </c>
      <c r="AC188" s="34"/>
      <c r="AD188" s="66">
        <v>0</v>
      </c>
      <c r="AE188" s="60">
        <v>0</v>
      </c>
    </row>
    <row r="189" spans="1:31" ht="18" customHeight="1" collapsed="1" x14ac:dyDescent="0.2">
      <c r="A189" s="35"/>
      <c r="B189" s="35"/>
      <c r="C189" s="4">
        <v>0.14347826086956522</v>
      </c>
      <c r="D189" s="4">
        <v>9.6330275229357804E-2</v>
      </c>
      <c r="F189" s="106" t="s">
        <v>188</v>
      </c>
      <c r="H189" s="61">
        <v>-1.6850000000000001</v>
      </c>
      <c r="I189" s="61">
        <v>-3.6720000000000002</v>
      </c>
      <c r="J189" s="61">
        <v>-3.6720000000000002</v>
      </c>
      <c r="K189" s="86">
        <v>-2.2999999999999998</v>
      </c>
      <c r="L189" s="86">
        <v>-2.1799999999999997</v>
      </c>
      <c r="M189" s="61">
        <v>-0.13500000000000001</v>
      </c>
      <c r="N189" s="61">
        <v>0</v>
      </c>
      <c r="O189" s="61">
        <v>0</v>
      </c>
      <c r="P189" s="61">
        <v>-0.9</v>
      </c>
      <c r="Q189" s="61">
        <v>0</v>
      </c>
      <c r="R189" s="61">
        <v>0</v>
      </c>
      <c r="S189" s="61">
        <v>0</v>
      </c>
      <c r="T189" s="61">
        <v>-0.223</v>
      </c>
      <c r="U189" s="61">
        <v>-0.71299999999999997</v>
      </c>
      <c r="V189" s="61">
        <v>0</v>
      </c>
      <c r="W189" s="61">
        <v>0</v>
      </c>
      <c r="X189" s="61">
        <v>0</v>
      </c>
      <c r="Y189" s="61">
        <v>-1.9710000000000001</v>
      </c>
      <c r="AA189" s="61">
        <v>-2.2999999999999998</v>
      </c>
      <c r="AB189" s="60">
        <v>0.33</v>
      </c>
      <c r="AD189" s="61">
        <v>-2.1799999999999997</v>
      </c>
      <c r="AE189" s="60">
        <v>0.21</v>
      </c>
    </row>
    <row r="190" spans="1:31" ht="18" customHeight="1" x14ac:dyDescent="0.2">
      <c r="A190" s="35"/>
      <c r="B190" s="35"/>
      <c r="C190" s="4">
        <v>0.20397994456728222</v>
      </c>
      <c r="D190" s="4">
        <v>4.6090688561298755E-2</v>
      </c>
      <c r="F190" s="95" t="s">
        <v>87</v>
      </c>
      <c r="H190" s="64">
        <v>-28.123999999999999</v>
      </c>
      <c r="I190" s="64">
        <v>-59.214999999999996</v>
      </c>
      <c r="J190" s="64">
        <v>-59.214999999999996</v>
      </c>
      <c r="K190" s="89">
        <v>-64.222000000000008</v>
      </c>
      <c r="L190" s="89">
        <v>-53.589999999999996</v>
      </c>
      <c r="M190" s="64">
        <v>-3.0019999999999998</v>
      </c>
      <c r="N190" s="64">
        <v>-4.0439999999999996</v>
      </c>
      <c r="O190" s="64">
        <v>-4.4340000000000002</v>
      </c>
      <c r="P190" s="64">
        <v>-3.5469999999999993</v>
      </c>
      <c r="Q190" s="64">
        <v>-3.6969999999999996</v>
      </c>
      <c r="R190" s="64">
        <v>-4.3029999999999999</v>
      </c>
      <c r="S190" s="64">
        <v>-4.2909999999999977</v>
      </c>
      <c r="T190" s="64">
        <v>-5.2980000000000009</v>
      </c>
      <c r="U190" s="64">
        <v>-8.5119999999999987</v>
      </c>
      <c r="V190" s="64">
        <v>-2.7840000000000034</v>
      </c>
      <c r="W190" s="64">
        <v>-2.6059999999999945</v>
      </c>
      <c r="X190" s="64">
        <v>-4.6020000000000003</v>
      </c>
      <c r="Y190" s="64">
        <v>-51.120000000000005</v>
      </c>
      <c r="AA190" s="64">
        <v>-64.222000000000008</v>
      </c>
      <c r="AB190" s="60">
        <v>13.1</v>
      </c>
      <c r="AD190" s="64">
        <v>-53.589999999999996</v>
      </c>
      <c r="AE190" s="60">
        <v>2.4700000000000002</v>
      </c>
    </row>
    <row r="191" spans="1:31" ht="12.95" customHeight="1" x14ac:dyDescent="0.2">
      <c r="A191" s="35"/>
      <c r="B191" s="35"/>
      <c r="C191" s="4"/>
      <c r="D191" s="4"/>
      <c r="F191" s="39" t="s">
        <v>223</v>
      </c>
      <c r="H191" s="56">
        <v>4.1552138744311027E-3</v>
      </c>
      <c r="I191" s="56">
        <v>8.6721015644198804E-3</v>
      </c>
      <c r="J191" s="56">
        <v>8.6721015644198804E-3</v>
      </c>
      <c r="K191" s="109">
        <v>1.0026818014548895E-2</v>
      </c>
      <c r="L191" s="109">
        <v>8.3886432265736673E-3</v>
      </c>
      <c r="M191" s="56">
        <v>5.7508036182937613E-3</v>
      </c>
      <c r="N191" s="56">
        <v>7.0408312498694212E-3</v>
      </c>
      <c r="O191" s="56">
        <v>8.4056393992072084E-3</v>
      </c>
      <c r="P191" s="56">
        <v>5.60259042805244E-3</v>
      </c>
      <c r="Q191" s="56">
        <v>6.8698318312738066E-3</v>
      </c>
      <c r="R191" s="56">
        <v>7.6876488443514655E-3</v>
      </c>
      <c r="S191" s="56">
        <v>8.3778649428036377E-3</v>
      </c>
      <c r="T191" s="56">
        <v>1.0013116464375766E-2</v>
      </c>
      <c r="U191" s="56">
        <v>1.559254225117329E-2</v>
      </c>
      <c r="V191" s="56">
        <v>5.5097509133441242E-3</v>
      </c>
      <c r="W191" s="56">
        <v>4.4718851243753729E-3</v>
      </c>
      <c r="X191" s="56">
        <v>7.8599084889402742E-3</v>
      </c>
      <c r="Y191" s="56">
        <v>7.7271996217420907E-3</v>
      </c>
      <c r="AA191" s="56">
        <v>1.0026818014548895E-2</v>
      </c>
      <c r="AB191" s="57"/>
      <c r="AD191" s="56">
        <v>8.3886432265736673E-3</v>
      </c>
      <c r="AE191" s="57"/>
    </row>
    <row r="192" spans="1:31" ht="6.95" customHeight="1" x14ac:dyDescent="0.2">
      <c r="C192" s="4"/>
      <c r="D192" s="4"/>
      <c r="F192" s="96"/>
      <c r="H192" s="16"/>
      <c r="I192" s="16"/>
      <c r="J192" s="16"/>
      <c r="K192" s="85"/>
      <c r="L192" s="85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AA192" s="16"/>
      <c r="AB192" s="20"/>
      <c r="AD192" s="16"/>
      <c r="AE192" s="20"/>
    </row>
    <row r="193" spans="1:31" s="40" customFormat="1" ht="18" customHeight="1" x14ac:dyDescent="0.2">
      <c r="A193" s="35"/>
      <c r="B193" s="35"/>
      <c r="C193" s="4">
        <v>-1.2260728169643515E-2</v>
      </c>
      <c r="D193" s="4">
        <v>-2.5456342801173735E-2</v>
      </c>
      <c r="E193" s="8"/>
      <c r="F193" s="100" t="s">
        <v>277</v>
      </c>
      <c r="G193" s="8"/>
      <c r="H193" s="62">
        <v>-5017.32</v>
      </c>
      <c r="I193" s="62">
        <v>-4674.683</v>
      </c>
      <c r="J193" s="62">
        <v>-4674.683</v>
      </c>
      <c r="K193" s="108">
        <v>-4462.2145799999998</v>
      </c>
      <c r="L193" s="108">
        <v>-4404.79612</v>
      </c>
      <c r="M193" s="62">
        <v>-394.80100000000004</v>
      </c>
      <c r="N193" s="62">
        <v>-371.596</v>
      </c>
      <c r="O193" s="62">
        <v>-424.61100000000005</v>
      </c>
      <c r="P193" s="62">
        <v>-385.64900000000006</v>
      </c>
      <c r="Q193" s="62">
        <v>-316.67099999999994</v>
      </c>
      <c r="R193" s="62">
        <v>-415.21400000000006</v>
      </c>
      <c r="S193" s="62">
        <v>-386.29599999999982</v>
      </c>
      <c r="T193" s="62">
        <v>-315.55800000000016</v>
      </c>
      <c r="U193" s="62">
        <v>-382.7999999999999</v>
      </c>
      <c r="V193" s="62">
        <v>-341.19500000000022</v>
      </c>
      <c r="W193" s="62">
        <v>-395.327</v>
      </c>
      <c r="X193" s="62">
        <v>-387.2069999999996</v>
      </c>
      <c r="Y193" s="62">
        <v>-4516.9250000000002</v>
      </c>
      <c r="Z193" s="8"/>
      <c r="AA193" s="62">
        <v>-4462.2145799999998</v>
      </c>
      <c r="AB193" s="60">
        <v>-54.71</v>
      </c>
      <c r="AC193" s="8"/>
      <c r="AD193" s="62">
        <v>-4404.79612</v>
      </c>
      <c r="AE193" s="60">
        <v>-112.13</v>
      </c>
    </row>
    <row r="194" spans="1:31" ht="12.95" customHeight="1" x14ac:dyDescent="0.2">
      <c r="A194" s="35"/>
      <c r="B194" s="35"/>
      <c r="C194" s="4"/>
      <c r="D194" s="4"/>
      <c r="F194" s="39" t="s">
        <v>223</v>
      </c>
      <c r="H194" s="56">
        <v>0.74128991880460315</v>
      </c>
      <c r="I194" s="56">
        <v>0.68461244207493077</v>
      </c>
      <c r="J194" s="56">
        <v>0.68461244207493077</v>
      </c>
      <c r="K194" s="109">
        <v>0.69667424769590991</v>
      </c>
      <c r="L194" s="109">
        <v>0.68949921881836118</v>
      </c>
      <c r="M194" s="56">
        <v>0.75630347078813986</v>
      </c>
      <c r="N194" s="56">
        <v>0.6469695175881498</v>
      </c>
      <c r="O194" s="56">
        <v>0.80494518514586644</v>
      </c>
      <c r="P194" s="56">
        <v>0.6091438951192546</v>
      </c>
      <c r="Q194" s="56">
        <v>0.58844374245098929</v>
      </c>
      <c r="R194" s="56">
        <v>0.74181255571892857</v>
      </c>
      <c r="S194" s="56">
        <v>0.75421480213126879</v>
      </c>
      <c r="T194" s="56">
        <v>0.59639845323999419</v>
      </c>
      <c r="U194" s="56">
        <v>0.70122476195361072</v>
      </c>
      <c r="V194" s="56">
        <v>0.67525124385001711</v>
      </c>
      <c r="W194" s="56">
        <v>0.6783794821811</v>
      </c>
      <c r="X194" s="56">
        <v>0.6613236823722497</v>
      </c>
      <c r="Y194" s="56">
        <v>0.68276958433954205</v>
      </c>
      <c r="AA194" s="56">
        <v>0.69667424769590991</v>
      </c>
      <c r="AB194" s="57"/>
      <c r="AD194" s="56">
        <v>0.68949921881836118</v>
      </c>
      <c r="AE194" s="57"/>
    </row>
    <row r="195" spans="1:31" ht="6.95" customHeight="1" x14ac:dyDescent="0.2">
      <c r="C195" s="4"/>
      <c r="D195" s="4"/>
      <c r="F195" s="96"/>
      <c r="H195" s="16"/>
      <c r="I195" s="16"/>
      <c r="J195" s="16"/>
      <c r="K195" s="85"/>
      <c r="L195" s="85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AA195" s="16"/>
      <c r="AB195" s="20"/>
      <c r="AD195" s="16"/>
      <c r="AE195" s="20"/>
    </row>
    <row r="196" spans="1:31" ht="18" customHeight="1" x14ac:dyDescent="0.2">
      <c r="A196" s="35"/>
      <c r="B196" s="35"/>
      <c r="C196" s="4">
        <v>9.8943520961707165E-2</v>
      </c>
      <c r="D196" s="4">
        <v>5.6927287653373328E-2</v>
      </c>
      <c r="F196" s="101" t="s">
        <v>278</v>
      </c>
      <c r="H196" s="77">
        <v>1616.1860000000006</v>
      </c>
      <c r="I196" s="77">
        <v>1968.5650000000014</v>
      </c>
      <c r="J196" s="77">
        <v>1968.5650000000014</v>
      </c>
      <c r="K196" s="114">
        <v>1912.8084200000003</v>
      </c>
      <c r="L196" s="114">
        <v>1988.8528800000004</v>
      </c>
      <c r="M196" s="77">
        <v>155.36199999999997</v>
      </c>
      <c r="N196" s="77">
        <v>166.89399999999989</v>
      </c>
      <c r="O196" s="77">
        <v>137.10300000000001</v>
      </c>
      <c r="P196" s="77">
        <v>229.27199999999988</v>
      </c>
      <c r="Q196" s="77">
        <v>219.4340000000002</v>
      </c>
      <c r="R196" s="77">
        <v>151.25499999999977</v>
      </c>
      <c r="S196" s="77">
        <v>109.0960000000004</v>
      </c>
      <c r="T196" s="77">
        <v>209.77999999999946</v>
      </c>
      <c r="U196" s="77">
        <v>174.37299999999988</v>
      </c>
      <c r="V196" s="77">
        <v>162.54800000000051</v>
      </c>
      <c r="W196" s="77">
        <v>186.56599999999935</v>
      </c>
      <c r="X196" s="77">
        <v>200.38900000000075</v>
      </c>
      <c r="Y196" s="77">
        <v>2102.072000000001</v>
      </c>
      <c r="AA196" s="77">
        <v>1912.8084200000003</v>
      </c>
      <c r="AB196" s="60">
        <v>189.26</v>
      </c>
      <c r="AD196" s="77">
        <v>1988.8528800000004</v>
      </c>
      <c r="AE196" s="60">
        <v>113.22</v>
      </c>
    </row>
    <row r="197" spans="1:31" ht="12.95" customHeight="1" x14ac:dyDescent="0.2">
      <c r="A197" s="35"/>
      <c r="B197" s="35"/>
      <c r="C197" s="4"/>
      <c r="D197" s="4"/>
      <c r="F197" s="39" t="s">
        <v>223</v>
      </c>
      <c r="H197" s="56">
        <v>0.23878532537552657</v>
      </c>
      <c r="I197" s="56">
        <v>0.28829849896415161</v>
      </c>
      <c r="J197" s="56">
        <v>0.28829849896415161</v>
      </c>
      <c r="K197" s="109">
        <v>0.29864192837402775</v>
      </c>
      <c r="L197" s="109">
        <v>0.31132258332643287</v>
      </c>
      <c r="M197" s="56">
        <v>0.29762037033489519</v>
      </c>
      <c r="N197" s="56">
        <v>0.29057183249646551</v>
      </c>
      <c r="O197" s="56">
        <v>0.25990942231608161</v>
      </c>
      <c r="P197" s="56">
        <v>0.36214184173116398</v>
      </c>
      <c r="Q197" s="56">
        <v>0.40775620180247174</v>
      </c>
      <c r="R197" s="56">
        <v>0.27022898581277693</v>
      </c>
      <c r="S197" s="56">
        <v>0.21300199342813086</v>
      </c>
      <c r="T197" s="56">
        <v>0.39648010039576115</v>
      </c>
      <c r="U197" s="56">
        <v>0.31942180098259382</v>
      </c>
      <c r="V197" s="56">
        <v>0.32169504003673222</v>
      </c>
      <c r="W197" s="56">
        <v>0.32014647740376617</v>
      </c>
      <c r="X197" s="56">
        <v>0.34225102177102529</v>
      </c>
      <c r="Y197" s="56">
        <v>0.31774510882775131</v>
      </c>
      <c r="AA197" s="56">
        <v>0.29864192837402775</v>
      </c>
      <c r="AB197" s="57"/>
      <c r="AD197" s="56">
        <v>0.31132258332643287</v>
      </c>
      <c r="AE197" s="57"/>
    </row>
    <row r="198" spans="1:31" ht="6.95" customHeight="1" x14ac:dyDescent="0.2">
      <c r="C198" s="4"/>
      <c r="D198" s="4"/>
      <c r="F198" s="96"/>
      <c r="H198" s="16"/>
      <c r="I198" s="16"/>
      <c r="J198" s="16"/>
      <c r="K198" s="85"/>
      <c r="L198" s="85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AA198" s="16"/>
      <c r="AB198" s="20"/>
      <c r="AD198" s="16"/>
      <c r="AE198" s="20"/>
    </row>
    <row r="199" spans="1:31" ht="18" hidden="1" customHeight="1" outlineLevel="1" x14ac:dyDescent="0.2">
      <c r="A199" s="30" t="s">
        <v>36</v>
      </c>
      <c r="B199" s="30" t="s">
        <v>243</v>
      </c>
      <c r="C199" s="4"/>
      <c r="D199" s="4"/>
      <c r="F199" s="51" t="s">
        <v>246</v>
      </c>
      <c r="G199" s="34"/>
      <c r="H199" s="72">
        <v>0.99</v>
      </c>
      <c r="I199" s="72">
        <v>0.996</v>
      </c>
      <c r="J199" s="72">
        <v>0.996</v>
      </c>
      <c r="K199" s="111">
        <v>1</v>
      </c>
      <c r="L199" s="111">
        <v>0.95099999999999996</v>
      </c>
      <c r="M199" s="72">
        <v>0.996</v>
      </c>
      <c r="N199" s="72">
        <v>0.996</v>
      </c>
      <c r="O199" s="72">
        <v>0.996</v>
      </c>
      <c r="P199" s="72">
        <v>0.44399999999999951</v>
      </c>
      <c r="Q199" s="72">
        <v>0.99600000000000044</v>
      </c>
      <c r="R199" s="72">
        <v>0.99600000000000044</v>
      </c>
      <c r="S199" s="72">
        <v>0.99599999999999955</v>
      </c>
      <c r="T199" s="72">
        <v>0.99600000000000044</v>
      </c>
      <c r="U199" s="72">
        <v>0.99599999999999866</v>
      </c>
      <c r="V199" s="72">
        <v>0.99600000000000222</v>
      </c>
      <c r="W199" s="72">
        <v>0.99599999999999866</v>
      </c>
      <c r="X199" s="72">
        <v>0.99599999999999866</v>
      </c>
      <c r="Y199" s="72">
        <v>0.94999999999999984</v>
      </c>
      <c r="Z199" s="34"/>
      <c r="AA199" s="72">
        <v>1</v>
      </c>
      <c r="AB199" s="73">
        <v>-0.05</v>
      </c>
      <c r="AC199" s="34"/>
      <c r="AD199" s="72">
        <v>0.95099999999999996</v>
      </c>
      <c r="AE199" s="73">
        <v>0</v>
      </c>
    </row>
    <row r="200" spans="1:31" ht="18" hidden="1" customHeight="1" outlineLevel="1" x14ac:dyDescent="0.2">
      <c r="A200" s="30" t="s">
        <v>36</v>
      </c>
      <c r="B200" s="30" t="s">
        <v>244</v>
      </c>
      <c r="C200" s="4"/>
      <c r="D200" s="4"/>
      <c r="F200" s="51" t="s">
        <v>247</v>
      </c>
      <c r="G200" s="34"/>
      <c r="H200" s="72">
        <v>1</v>
      </c>
      <c r="I200" s="72">
        <v>0.98899999999999999</v>
      </c>
      <c r="J200" s="72">
        <v>0.98899999999999999</v>
      </c>
      <c r="K200" s="111">
        <v>1</v>
      </c>
      <c r="L200" s="111">
        <v>1</v>
      </c>
      <c r="M200" s="72">
        <v>0.996</v>
      </c>
      <c r="N200" s="72">
        <v>0.996</v>
      </c>
      <c r="O200" s="72">
        <v>0.996</v>
      </c>
      <c r="P200" s="72">
        <v>0.996</v>
      </c>
      <c r="Q200" s="72">
        <v>0.99599999999999955</v>
      </c>
      <c r="R200" s="72">
        <v>0.99600000000000044</v>
      </c>
      <c r="S200" s="72">
        <v>0.99599999999999955</v>
      </c>
      <c r="T200" s="72">
        <v>0.99600000000000044</v>
      </c>
      <c r="U200" s="72">
        <v>0.99600000000000044</v>
      </c>
      <c r="V200" s="72">
        <v>0.99599999999999866</v>
      </c>
      <c r="W200" s="72">
        <v>0.99600000000000044</v>
      </c>
      <c r="X200" s="72">
        <v>0.99600000000000044</v>
      </c>
      <c r="Y200" s="72">
        <v>0.996</v>
      </c>
      <c r="Z200" s="34"/>
      <c r="AA200" s="72">
        <v>1</v>
      </c>
      <c r="AB200" s="73">
        <v>0</v>
      </c>
      <c r="AC200" s="34"/>
      <c r="AD200" s="72">
        <v>1</v>
      </c>
      <c r="AE200" s="73">
        <v>0</v>
      </c>
    </row>
    <row r="201" spans="1:31" ht="18" hidden="1" customHeight="1" outlineLevel="1" x14ac:dyDescent="0.2">
      <c r="A201" s="30" t="s">
        <v>36</v>
      </c>
      <c r="B201" s="30" t="s">
        <v>245</v>
      </c>
      <c r="C201" s="4"/>
      <c r="D201" s="4"/>
      <c r="F201" s="51" t="s">
        <v>248</v>
      </c>
      <c r="G201" s="34"/>
      <c r="H201" s="72">
        <v>6.12</v>
      </c>
      <c r="I201" s="72">
        <v>5.6050000000000004</v>
      </c>
      <c r="J201" s="72">
        <v>5.6050000000000004</v>
      </c>
      <c r="K201" s="111">
        <v>6</v>
      </c>
      <c r="L201" s="111">
        <v>5.798</v>
      </c>
      <c r="M201" s="72">
        <v>3.984</v>
      </c>
      <c r="N201" s="72">
        <v>3.9359999999999999</v>
      </c>
      <c r="O201" s="72">
        <v>4.9079999999999995</v>
      </c>
      <c r="P201" s="72">
        <v>4.9800000000000004</v>
      </c>
      <c r="Q201" s="72">
        <v>4.8960000000000008</v>
      </c>
      <c r="R201" s="72">
        <v>4.3320000000000007</v>
      </c>
      <c r="S201" s="72">
        <v>3.9839999999999982</v>
      </c>
      <c r="T201" s="72">
        <v>3.9000000000000021</v>
      </c>
      <c r="U201" s="72">
        <v>3.9359999999999999</v>
      </c>
      <c r="V201" s="72">
        <v>4.4879999999999995</v>
      </c>
      <c r="W201" s="72">
        <v>4.9799999999999969</v>
      </c>
      <c r="X201" s="72">
        <v>4.3919999999999959</v>
      </c>
      <c r="Y201" s="72">
        <v>4.3929999999999998</v>
      </c>
      <c r="Z201" s="34"/>
      <c r="AA201" s="72">
        <v>6</v>
      </c>
      <c r="AB201" s="73">
        <v>-1.61</v>
      </c>
      <c r="AC201" s="34"/>
      <c r="AD201" s="72">
        <v>5.798</v>
      </c>
      <c r="AE201" s="73">
        <v>-1.41</v>
      </c>
    </row>
    <row r="202" spans="1:31" ht="18" customHeight="1" collapsed="1" x14ac:dyDescent="0.2">
      <c r="A202" s="30" t="s">
        <v>36</v>
      </c>
      <c r="B202" s="30" t="s">
        <v>22</v>
      </c>
      <c r="C202" s="4"/>
      <c r="D202" s="4"/>
      <c r="F202" s="97" t="s">
        <v>250</v>
      </c>
      <c r="H202" s="74">
        <v>8.11</v>
      </c>
      <c r="I202" s="74">
        <v>7.59</v>
      </c>
      <c r="J202" s="74">
        <v>7.59</v>
      </c>
      <c r="K202" s="112">
        <v>8</v>
      </c>
      <c r="L202" s="112">
        <v>7.7489999999999997</v>
      </c>
      <c r="M202" s="74">
        <v>5.976</v>
      </c>
      <c r="N202" s="74">
        <v>5.9279999999999999</v>
      </c>
      <c r="O202" s="74">
        <v>6.8999999999999986</v>
      </c>
      <c r="P202" s="74">
        <v>6.4199999999999982</v>
      </c>
      <c r="Q202" s="74">
        <v>6.8880000000000052</v>
      </c>
      <c r="R202" s="74">
        <v>6.3239999999999981</v>
      </c>
      <c r="S202" s="74">
        <v>5.9759999999999991</v>
      </c>
      <c r="T202" s="74">
        <v>5.892000000000003</v>
      </c>
      <c r="U202" s="74">
        <v>5.9279999999999973</v>
      </c>
      <c r="V202" s="74">
        <v>6.480000000000004</v>
      </c>
      <c r="W202" s="74">
        <v>6.9719999999999942</v>
      </c>
      <c r="X202" s="74">
        <v>6.3840000000000146</v>
      </c>
      <c r="Y202" s="74">
        <v>6.3390000000000013</v>
      </c>
      <c r="AA202" s="74">
        <v>8</v>
      </c>
      <c r="AB202" s="73">
        <v>-1.66</v>
      </c>
      <c r="AD202" s="74">
        <v>7.7489999999999997</v>
      </c>
      <c r="AE202" s="73">
        <v>-1.41</v>
      </c>
    </row>
    <row r="203" spans="1:31" ht="18" hidden="1" customHeight="1" outlineLevel="1" collapsed="1" x14ac:dyDescent="0.2">
      <c r="A203" s="33" t="s">
        <v>211</v>
      </c>
      <c r="B203" s="33" t="s">
        <v>22</v>
      </c>
      <c r="C203" s="4"/>
      <c r="D203" s="4"/>
      <c r="F203" s="98" t="s">
        <v>212</v>
      </c>
      <c r="G203" s="34"/>
      <c r="H203" s="75">
        <v>8.1750000000000007</v>
      </c>
      <c r="I203" s="75">
        <v>8.0169999999999995</v>
      </c>
      <c r="J203" s="75">
        <v>8.0169999999999995</v>
      </c>
      <c r="K203" s="112">
        <v>8</v>
      </c>
      <c r="L203" s="112">
        <v>7.7489999999999997</v>
      </c>
      <c r="M203" s="75">
        <v>5.976</v>
      </c>
      <c r="N203" s="75">
        <v>6.0480000000000009</v>
      </c>
      <c r="O203" s="75">
        <v>6.8999999999999986</v>
      </c>
      <c r="P203" s="75">
        <v>6.9720000000000013</v>
      </c>
      <c r="Q203" s="75">
        <v>7.0559999999999974</v>
      </c>
      <c r="R203" s="75">
        <v>6.9720000000000013</v>
      </c>
      <c r="S203" s="75">
        <v>6.9720000000000013</v>
      </c>
      <c r="T203" s="75">
        <v>7.0560000000000045</v>
      </c>
      <c r="U203" s="75">
        <v>6.1439999999999984</v>
      </c>
      <c r="V203" s="75">
        <v>6.4799999999999898</v>
      </c>
      <c r="W203" s="75">
        <v>7.0560000000000116</v>
      </c>
      <c r="X203" s="75">
        <v>6.9719999999999942</v>
      </c>
      <c r="Y203" s="75">
        <v>6.7169999999999996</v>
      </c>
      <c r="Z203" s="34"/>
      <c r="AA203" s="75">
        <v>8</v>
      </c>
      <c r="AB203" s="76">
        <v>-1.28</v>
      </c>
      <c r="AC203" s="34"/>
      <c r="AD203" s="75">
        <v>7.7489999999999997</v>
      </c>
      <c r="AE203" s="76">
        <v>-1.03</v>
      </c>
    </row>
    <row r="204" spans="1:31" ht="18" hidden="1" customHeight="1" outlineLevel="1" collapsed="1" x14ac:dyDescent="0.2">
      <c r="A204" s="35"/>
      <c r="B204" s="35"/>
      <c r="C204" s="4"/>
      <c r="D204" s="4"/>
      <c r="F204" s="97" t="s">
        <v>251</v>
      </c>
      <c r="H204" s="74">
        <v>6.5000000000001279E-2</v>
      </c>
      <c r="I204" s="74">
        <v>0.4269999999999996</v>
      </c>
      <c r="J204" s="74">
        <v>0.4269999999999996</v>
      </c>
      <c r="K204" s="112">
        <v>0</v>
      </c>
      <c r="L204" s="112">
        <v>0</v>
      </c>
      <c r="M204" s="74">
        <v>0</v>
      </c>
      <c r="N204" s="74">
        <v>0.12000000000000099</v>
      </c>
      <c r="O204" s="74">
        <v>0</v>
      </c>
      <c r="P204" s="74">
        <v>0.55200000000000315</v>
      </c>
      <c r="Q204" s="74">
        <v>0.16799999999999216</v>
      </c>
      <c r="R204" s="74">
        <v>0.64800000000000324</v>
      </c>
      <c r="S204" s="74">
        <v>0.99600000000000222</v>
      </c>
      <c r="T204" s="74">
        <v>1.1640000000000015</v>
      </c>
      <c r="U204" s="74">
        <v>0.21600000000000108</v>
      </c>
      <c r="V204" s="74">
        <v>-1.4210854715202004E-14</v>
      </c>
      <c r="W204" s="74">
        <v>8.4000000000017394E-2</v>
      </c>
      <c r="X204" s="74">
        <v>0.58799999999997965</v>
      </c>
      <c r="Y204" s="74">
        <v>0.37799999999999834</v>
      </c>
      <c r="AA204" s="74">
        <v>0</v>
      </c>
      <c r="AB204" s="73">
        <v>0.38</v>
      </c>
      <c r="AD204" s="74">
        <v>0</v>
      </c>
      <c r="AE204" s="73">
        <v>0.38</v>
      </c>
    </row>
    <row r="205" spans="1:31" ht="12.95" hidden="1" customHeight="1" outlineLevel="1" x14ac:dyDescent="0.2">
      <c r="A205" s="35"/>
      <c r="B205" s="35"/>
      <c r="C205" s="4"/>
      <c r="D205" s="4"/>
      <c r="F205" s="39" t="s">
        <v>37</v>
      </c>
      <c r="H205" s="68">
        <v>7.9510703363915927E-3</v>
      </c>
      <c r="I205" s="68">
        <v>5.3261818635399728E-2</v>
      </c>
      <c r="J205" s="68">
        <v>5.3261818635399728E-2</v>
      </c>
      <c r="K205" s="113">
        <v>0</v>
      </c>
      <c r="L205" s="113">
        <v>0</v>
      </c>
      <c r="M205" s="68">
        <v>0</v>
      </c>
      <c r="N205" s="68">
        <v>1.9841269841270003E-2</v>
      </c>
      <c r="O205" s="68">
        <v>0</v>
      </c>
      <c r="P205" s="68">
        <v>7.9173838209983222E-2</v>
      </c>
      <c r="Q205" s="68">
        <v>2.3809523809522705E-2</v>
      </c>
      <c r="R205" s="68">
        <v>9.2943201376936763E-2</v>
      </c>
      <c r="S205" s="68">
        <v>0.14285714285714315</v>
      </c>
      <c r="T205" s="68">
        <v>0.16496598639455792</v>
      </c>
      <c r="U205" s="68">
        <v>3.5156250000000187E-2</v>
      </c>
      <c r="V205" s="68">
        <v>-2.193033135062041E-15</v>
      </c>
      <c r="W205" s="68">
        <v>1.190476190476435E-2</v>
      </c>
      <c r="X205" s="68">
        <v>8.433734939758751E-2</v>
      </c>
      <c r="Y205" s="68">
        <v>5.6275122822688456E-2</v>
      </c>
      <c r="AA205" s="68">
        <v>0</v>
      </c>
      <c r="AB205" s="69"/>
      <c r="AD205" s="68">
        <v>0</v>
      </c>
      <c r="AE205" s="69"/>
    </row>
    <row r="206" spans="1:31" ht="18" customHeight="1" collapsed="1" x14ac:dyDescent="0.2">
      <c r="A206" s="30" t="s">
        <v>220</v>
      </c>
      <c r="B206" s="30" t="s">
        <v>22</v>
      </c>
      <c r="C206" s="4">
        <v>9.3562326098624984E-2</v>
      </c>
      <c r="D206" s="4">
        <v>4.5216874770624117E-2</v>
      </c>
      <c r="F206" s="106" t="s">
        <v>66</v>
      </c>
      <c r="H206" s="61">
        <v>-482.54399999999998</v>
      </c>
      <c r="I206" s="61">
        <v>-442.79</v>
      </c>
      <c r="J206" s="61">
        <v>-442.79</v>
      </c>
      <c r="K206" s="86">
        <v>-454.02890000000002</v>
      </c>
      <c r="L206" s="86">
        <v>-431.03377</v>
      </c>
      <c r="M206" s="61">
        <v>-32.253</v>
      </c>
      <c r="N206" s="61">
        <v>-31.399000000000001</v>
      </c>
      <c r="O206" s="61">
        <v>-35.045999999999992</v>
      </c>
      <c r="P206" s="61">
        <v>-33.400999999999996</v>
      </c>
      <c r="Q206" s="61">
        <v>-36.100999999999999</v>
      </c>
      <c r="R206" s="61">
        <v>-36.973000000000013</v>
      </c>
      <c r="S206" s="61">
        <v>-31.350999999999999</v>
      </c>
      <c r="T206" s="61">
        <v>-30.670000000000016</v>
      </c>
      <c r="U206" s="61">
        <v>-37.086999999999989</v>
      </c>
      <c r="V206" s="61">
        <v>-34.528999999999996</v>
      </c>
      <c r="W206" s="61">
        <v>-35.802000000000021</v>
      </c>
      <c r="X206" s="61">
        <v>-36.933999999999969</v>
      </c>
      <c r="Y206" s="61">
        <v>-411.54599999999999</v>
      </c>
      <c r="AA206" s="61">
        <v>-454.02890000000002</v>
      </c>
      <c r="AB206" s="60">
        <v>42.48</v>
      </c>
      <c r="AD206" s="61">
        <v>-431.03377</v>
      </c>
      <c r="AE206" s="60">
        <v>19.489999999999998</v>
      </c>
    </row>
    <row r="207" spans="1:31" ht="18" customHeight="1" x14ac:dyDescent="0.2">
      <c r="A207" s="30" t="s">
        <v>218</v>
      </c>
      <c r="B207" s="30" t="s">
        <v>22</v>
      </c>
      <c r="C207" s="4">
        <v>-0.99909788001804234</v>
      </c>
      <c r="D207" s="4">
        <v>-0.99909788001804234</v>
      </c>
      <c r="F207" s="104" t="s">
        <v>219</v>
      </c>
      <c r="G207" s="36"/>
      <c r="H207" s="65">
        <v>-9.7000000000000003E-2</v>
      </c>
      <c r="I207" s="65">
        <v>6.3540000000000001</v>
      </c>
      <c r="J207" s="65">
        <v>6.3540000000000001</v>
      </c>
      <c r="K207" s="65">
        <v>0</v>
      </c>
      <c r="L207" s="65">
        <v>0</v>
      </c>
      <c r="M207" s="65">
        <v>-2.7330000000000001</v>
      </c>
      <c r="N207" s="65">
        <v>-2.7189999999999999</v>
      </c>
      <c r="O207" s="65">
        <v>-1.5280000000000005</v>
      </c>
      <c r="P207" s="65">
        <v>-2.4849999999999994</v>
      </c>
      <c r="Q207" s="65">
        <v>0.98799999999999955</v>
      </c>
      <c r="R207" s="65">
        <v>4.8000000000000043E-2</v>
      </c>
      <c r="S207" s="65">
        <v>-1.3369999999999997</v>
      </c>
      <c r="T207" s="65">
        <v>5.6079999999999997</v>
      </c>
      <c r="U207" s="65">
        <v>4.3220000000000001</v>
      </c>
      <c r="V207" s="65">
        <v>1.4430000000000003</v>
      </c>
      <c r="W207" s="65">
        <v>-2.8460000000000001</v>
      </c>
      <c r="X207" s="65">
        <v>-3.1950000000000003</v>
      </c>
      <c r="Y207" s="65">
        <v>-4.4340000000000002</v>
      </c>
      <c r="Z207" s="36"/>
      <c r="AA207" s="65">
        <v>0</v>
      </c>
      <c r="AB207" s="60">
        <v>-4.43</v>
      </c>
      <c r="AC207" s="36"/>
      <c r="AD207" s="65">
        <v>0</v>
      </c>
      <c r="AE207" s="60">
        <v>-4.43</v>
      </c>
    </row>
    <row r="208" spans="1:31" ht="18" customHeight="1" x14ac:dyDescent="0.2">
      <c r="A208" s="30" t="s">
        <v>34</v>
      </c>
      <c r="B208" s="30" t="s">
        <v>22</v>
      </c>
      <c r="C208" s="4">
        <v>0</v>
      </c>
      <c r="D208" s="4">
        <v>0</v>
      </c>
      <c r="F208" s="106" t="s">
        <v>57</v>
      </c>
      <c r="H208" s="61">
        <v>0</v>
      </c>
      <c r="I208" s="61">
        <v>0</v>
      </c>
      <c r="J208" s="61">
        <v>0</v>
      </c>
      <c r="K208" s="86">
        <v>0</v>
      </c>
      <c r="L208" s="86">
        <v>0</v>
      </c>
      <c r="M208" s="61">
        <v>0</v>
      </c>
      <c r="N208" s="61">
        <v>0</v>
      </c>
      <c r="O208" s="61">
        <v>0</v>
      </c>
      <c r="P208" s="61">
        <v>0</v>
      </c>
      <c r="Q208" s="61">
        <v>0</v>
      </c>
      <c r="R208" s="61">
        <v>0</v>
      </c>
      <c r="S208" s="61">
        <v>0</v>
      </c>
      <c r="T208" s="61">
        <v>0</v>
      </c>
      <c r="U208" s="61">
        <v>0</v>
      </c>
      <c r="V208" s="61">
        <v>0</v>
      </c>
      <c r="W208" s="61">
        <v>0</v>
      </c>
      <c r="X208" s="61">
        <v>0</v>
      </c>
      <c r="Y208" s="61">
        <v>0</v>
      </c>
      <c r="AA208" s="61">
        <v>0</v>
      </c>
      <c r="AB208" s="60">
        <v>0</v>
      </c>
      <c r="AD208" s="61">
        <v>0</v>
      </c>
      <c r="AE208" s="60">
        <v>0</v>
      </c>
    </row>
    <row r="209" spans="1:31" ht="18" customHeight="1" x14ac:dyDescent="0.2">
      <c r="A209" s="30" t="s">
        <v>221</v>
      </c>
      <c r="B209" s="30" t="s">
        <v>22</v>
      </c>
      <c r="C209" s="4">
        <v>0</v>
      </c>
      <c r="D209" s="4">
        <v>0</v>
      </c>
      <c r="F209" s="106" t="s">
        <v>379</v>
      </c>
      <c r="H209" s="61">
        <v>0</v>
      </c>
      <c r="I209" s="61">
        <v>0</v>
      </c>
      <c r="J209" s="61">
        <v>0</v>
      </c>
      <c r="K209" s="86">
        <v>0</v>
      </c>
      <c r="L209" s="86">
        <v>0</v>
      </c>
      <c r="M209" s="61">
        <v>0</v>
      </c>
      <c r="N209" s="61">
        <v>0</v>
      </c>
      <c r="O209" s="61">
        <v>0</v>
      </c>
      <c r="P209" s="61">
        <v>0</v>
      </c>
      <c r="Q209" s="61">
        <v>0</v>
      </c>
      <c r="R209" s="61">
        <v>0</v>
      </c>
      <c r="S209" s="61">
        <v>0</v>
      </c>
      <c r="T209" s="61">
        <v>0</v>
      </c>
      <c r="U209" s="61">
        <v>0</v>
      </c>
      <c r="V209" s="61">
        <v>0</v>
      </c>
      <c r="W209" s="61">
        <v>0</v>
      </c>
      <c r="X209" s="61">
        <v>0</v>
      </c>
      <c r="Y209" s="61">
        <v>0</v>
      </c>
      <c r="AA209" s="61">
        <v>0</v>
      </c>
      <c r="AB209" s="60">
        <v>0</v>
      </c>
      <c r="AD209" s="61">
        <v>0</v>
      </c>
      <c r="AE209" s="60">
        <v>0</v>
      </c>
    </row>
    <row r="210" spans="1:31" ht="18" customHeight="1" x14ac:dyDescent="0.2">
      <c r="A210" s="30" t="s">
        <v>430</v>
      </c>
      <c r="B210" s="30" t="s">
        <v>22</v>
      </c>
      <c r="C210" s="4">
        <v>0</v>
      </c>
      <c r="D210" s="4">
        <v>0</v>
      </c>
      <c r="F210" s="106" t="s">
        <v>431</v>
      </c>
      <c r="H210" s="61">
        <v>-0.58199999999999996</v>
      </c>
      <c r="I210" s="61">
        <v>-0.32300000000000001</v>
      </c>
      <c r="J210" s="61">
        <v>-0.32300000000000001</v>
      </c>
      <c r="K210" s="86">
        <v>0</v>
      </c>
      <c r="L210" s="86">
        <v>0</v>
      </c>
      <c r="M210" s="61">
        <v>0</v>
      </c>
      <c r="N210" s="61">
        <v>0</v>
      </c>
      <c r="O210" s="61">
        <v>0</v>
      </c>
      <c r="P210" s="61">
        <v>0</v>
      </c>
      <c r="Q210" s="61">
        <v>0</v>
      </c>
      <c r="R210" s="61">
        <v>0</v>
      </c>
      <c r="S210" s="61">
        <v>0</v>
      </c>
      <c r="T210" s="61">
        <v>0</v>
      </c>
      <c r="U210" s="61">
        <v>0</v>
      </c>
      <c r="V210" s="61">
        <v>0</v>
      </c>
      <c r="W210" s="61">
        <v>0</v>
      </c>
      <c r="X210" s="61">
        <v>0</v>
      </c>
      <c r="Y210" s="61">
        <v>0</v>
      </c>
      <c r="AA210" s="61">
        <v>0</v>
      </c>
      <c r="AB210" s="60">
        <v>0</v>
      </c>
      <c r="AD210" s="61">
        <v>0</v>
      </c>
      <c r="AE210" s="60">
        <v>0</v>
      </c>
    </row>
    <row r="211" spans="1:31" ht="18" customHeight="1" x14ac:dyDescent="0.2">
      <c r="A211" s="30" t="s">
        <v>35</v>
      </c>
      <c r="B211" s="30" t="s">
        <v>22</v>
      </c>
      <c r="C211" s="4">
        <v>-0.99667774086378735</v>
      </c>
      <c r="D211" s="4">
        <v>-0.2</v>
      </c>
      <c r="F211" s="106" t="s">
        <v>67</v>
      </c>
      <c r="H211" s="61">
        <v>0</v>
      </c>
      <c r="I211" s="61">
        <v>0</v>
      </c>
      <c r="J211" s="61">
        <v>0</v>
      </c>
      <c r="K211" s="86">
        <v>0</v>
      </c>
      <c r="L211" s="86">
        <v>-0.5</v>
      </c>
      <c r="M211" s="61">
        <v>0</v>
      </c>
      <c r="N211" s="61">
        <v>0</v>
      </c>
      <c r="O211" s="61">
        <v>0</v>
      </c>
      <c r="P211" s="61">
        <v>0</v>
      </c>
      <c r="Q211" s="61">
        <v>0</v>
      </c>
      <c r="R211" s="61">
        <v>-0.13200000000000001</v>
      </c>
      <c r="S211" s="61">
        <v>-0.13100000000000001</v>
      </c>
      <c r="T211" s="61">
        <v>-0.13200000000000001</v>
      </c>
      <c r="U211" s="61">
        <v>6.9000000000000006E-2</v>
      </c>
      <c r="V211" s="61">
        <v>-8.9999999999999969E-2</v>
      </c>
      <c r="W211" s="61">
        <v>-7.1000000000000008E-2</v>
      </c>
      <c r="X211" s="61">
        <v>-0.11499999999999999</v>
      </c>
      <c r="Y211" s="61">
        <v>-0.60199999999999998</v>
      </c>
      <c r="AA211" s="61">
        <v>0</v>
      </c>
      <c r="AB211" s="60">
        <v>-0.6</v>
      </c>
      <c r="AD211" s="61">
        <v>-0.5</v>
      </c>
      <c r="AE211" s="60">
        <v>-0.1</v>
      </c>
    </row>
    <row r="212" spans="1:31" ht="18" hidden="1" customHeight="1" outlineLevel="1" collapsed="1" x14ac:dyDescent="0.2">
      <c r="A212" s="35"/>
      <c r="B212" s="35"/>
      <c r="C212" s="4"/>
      <c r="D212" s="4"/>
      <c r="F212" s="97" t="s">
        <v>454</v>
      </c>
      <c r="H212" s="74">
        <v>0</v>
      </c>
      <c r="I212" s="74">
        <v>0</v>
      </c>
      <c r="J212" s="74">
        <v>0</v>
      </c>
      <c r="K212" s="112">
        <v>0</v>
      </c>
      <c r="L212" s="112">
        <v>0</v>
      </c>
      <c r="M212" s="74">
        <v>0</v>
      </c>
      <c r="N212" s="74">
        <v>0</v>
      </c>
      <c r="O212" s="74">
        <v>0</v>
      </c>
      <c r="P212" s="74">
        <v>0</v>
      </c>
      <c r="Q212" s="74">
        <v>0</v>
      </c>
      <c r="R212" s="74">
        <v>0</v>
      </c>
      <c r="S212" s="74">
        <v>0</v>
      </c>
      <c r="T212" s="74">
        <v>0</v>
      </c>
      <c r="U212" s="74">
        <v>0</v>
      </c>
      <c r="V212" s="74">
        <v>0</v>
      </c>
      <c r="W212" s="74">
        <v>0</v>
      </c>
      <c r="X212" s="74">
        <v>0</v>
      </c>
      <c r="Y212" s="74">
        <v>0</v>
      </c>
      <c r="AA212" s="74">
        <v>0</v>
      </c>
      <c r="AB212" s="73">
        <v>0</v>
      </c>
      <c r="AD212" s="74">
        <v>0</v>
      </c>
      <c r="AE212" s="73">
        <v>0</v>
      </c>
    </row>
    <row r="213" spans="1:31" ht="18" customHeight="1" collapsed="1" x14ac:dyDescent="0.2">
      <c r="A213" s="30" t="s">
        <v>20</v>
      </c>
      <c r="B213" s="30" t="s">
        <v>22</v>
      </c>
      <c r="C213" s="4">
        <v>0</v>
      </c>
      <c r="D213" s="4">
        <v>0</v>
      </c>
      <c r="F213" s="106" t="s">
        <v>68</v>
      </c>
      <c r="H213" s="61">
        <v>0</v>
      </c>
      <c r="I213" s="61">
        <v>0</v>
      </c>
      <c r="J213" s="61">
        <v>0</v>
      </c>
      <c r="K213" s="86">
        <v>0</v>
      </c>
      <c r="L213" s="86">
        <v>0</v>
      </c>
      <c r="M213" s="61">
        <v>0</v>
      </c>
      <c r="N213" s="61">
        <v>0</v>
      </c>
      <c r="O213" s="61">
        <v>0</v>
      </c>
      <c r="P213" s="61">
        <v>0</v>
      </c>
      <c r="Q213" s="61">
        <v>0</v>
      </c>
      <c r="R213" s="61">
        <v>0</v>
      </c>
      <c r="S213" s="61">
        <v>0</v>
      </c>
      <c r="T213" s="61">
        <v>0</v>
      </c>
      <c r="U213" s="61">
        <v>0</v>
      </c>
      <c r="V213" s="61">
        <v>0</v>
      </c>
      <c r="W213" s="61">
        <v>0</v>
      </c>
      <c r="X213" s="61">
        <v>0</v>
      </c>
      <c r="Y213" s="61">
        <v>0</v>
      </c>
      <c r="AA213" s="61">
        <v>0</v>
      </c>
      <c r="AB213" s="60">
        <v>0</v>
      </c>
      <c r="AD213" s="61">
        <v>0</v>
      </c>
      <c r="AE213" s="60">
        <v>0</v>
      </c>
    </row>
    <row r="214" spans="1:31" ht="18" customHeight="1" x14ac:dyDescent="0.2">
      <c r="A214" s="35"/>
      <c r="B214" s="35"/>
      <c r="C214" s="4">
        <v>8.2483736167455426E-2</v>
      </c>
      <c r="D214" s="4">
        <v>3.4643870397443051E-2</v>
      </c>
      <c r="F214" s="95" t="s">
        <v>275</v>
      </c>
      <c r="H214" s="198">
        <v>-483.22299999999996</v>
      </c>
      <c r="I214" s="198">
        <v>-436.75900000000001</v>
      </c>
      <c r="J214" s="198">
        <v>-436.75900000000001</v>
      </c>
      <c r="K214" s="89">
        <v>-454.02890000000002</v>
      </c>
      <c r="L214" s="89">
        <v>-431.53377</v>
      </c>
      <c r="M214" s="64">
        <v>-34.985999999999997</v>
      </c>
      <c r="N214" s="64">
        <v>-34.118000000000002</v>
      </c>
      <c r="O214" s="64">
        <v>-36.573999999999991</v>
      </c>
      <c r="P214" s="64">
        <v>-35.885999999999996</v>
      </c>
      <c r="Q214" s="64">
        <v>-35.113</v>
      </c>
      <c r="R214" s="64">
        <v>-37.057000000000009</v>
      </c>
      <c r="S214" s="64">
        <v>-32.819000000000003</v>
      </c>
      <c r="T214" s="64">
        <v>-25.194000000000017</v>
      </c>
      <c r="U214" s="64">
        <v>-32.695999999999984</v>
      </c>
      <c r="V214" s="64">
        <v>-33.176000000000002</v>
      </c>
      <c r="W214" s="64">
        <v>-38.719000000000023</v>
      </c>
      <c r="X214" s="64">
        <v>-40.243999999999971</v>
      </c>
      <c r="Y214" s="64">
        <v>-416.58199999999999</v>
      </c>
      <c r="AA214" s="64">
        <v>-454.02890000000002</v>
      </c>
      <c r="AB214" s="60">
        <v>37.450000000000003</v>
      </c>
      <c r="AD214" s="64">
        <v>-431.53377</v>
      </c>
      <c r="AE214" s="60">
        <v>14.95</v>
      </c>
    </row>
    <row r="215" spans="1:31" ht="12.95" customHeight="1" x14ac:dyDescent="0.2">
      <c r="A215" s="35"/>
      <c r="B215" s="35"/>
      <c r="C215" s="4"/>
      <c r="D215" s="4"/>
      <c r="F215" s="39" t="s">
        <v>223</v>
      </c>
      <c r="H215" s="56">
        <v>7.1394357632065877E-2</v>
      </c>
      <c r="I215" s="56">
        <v>6.3963833609296014E-2</v>
      </c>
      <c r="J215" s="56">
        <v>6.3963833609296014E-2</v>
      </c>
      <c r="K215" s="109">
        <v>7.0886380891996795E-2</v>
      </c>
      <c r="L215" s="109">
        <v>6.7549595759438322E-2</v>
      </c>
      <c r="M215" s="56">
        <v>6.7021191002540156E-2</v>
      </c>
      <c r="N215" s="56">
        <v>5.9401355238141676E-2</v>
      </c>
      <c r="O215" s="56">
        <v>6.9334202838656822E-2</v>
      </c>
      <c r="P215" s="56">
        <v>5.6682988469436112E-2</v>
      </c>
      <c r="Q215" s="56">
        <v>6.5247607544364941E-2</v>
      </c>
      <c r="R215" s="56">
        <v>6.6205252899170883E-2</v>
      </c>
      <c r="S215" s="56">
        <v>6.4076706958255139E-2</v>
      </c>
      <c r="T215" s="56">
        <v>4.7616167648826577E-2</v>
      </c>
      <c r="U215" s="56">
        <v>5.9893534004271817E-2</v>
      </c>
      <c r="V215" s="56">
        <v>6.5657865050684078E-2</v>
      </c>
      <c r="W215" s="56">
        <v>6.6441642413925764E-2</v>
      </c>
      <c r="X215" s="56">
        <v>6.8734062848525027E-2</v>
      </c>
      <c r="Y215" s="56">
        <v>6.296972364680288E-2</v>
      </c>
      <c r="AA215" s="56">
        <v>7.0886380891996795E-2</v>
      </c>
      <c r="AB215" s="57"/>
      <c r="AD215" s="56">
        <v>6.7549595759438322E-2</v>
      </c>
      <c r="AE215" s="57"/>
    </row>
    <row r="216" spans="1:31" ht="6.95" customHeight="1" x14ac:dyDescent="0.2">
      <c r="C216" s="4"/>
      <c r="D216" s="4"/>
      <c r="F216" s="96"/>
      <c r="H216" s="16"/>
      <c r="I216" s="16"/>
      <c r="J216" s="16"/>
      <c r="K216" s="85"/>
      <c r="L216" s="85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AA216" s="16"/>
      <c r="AB216" s="20"/>
      <c r="AD216" s="16"/>
      <c r="AE216" s="20"/>
    </row>
    <row r="217" spans="1:31" ht="18" customHeight="1" x14ac:dyDescent="0.2">
      <c r="A217" s="30" t="s">
        <v>70</v>
      </c>
      <c r="B217" s="30" t="s">
        <v>22</v>
      </c>
      <c r="C217" s="4"/>
      <c r="D217" s="4"/>
      <c r="F217" s="97" t="s">
        <v>226</v>
      </c>
      <c r="H217" s="74">
        <v>2</v>
      </c>
      <c r="I217" s="74">
        <v>2</v>
      </c>
      <c r="J217" s="74">
        <v>2</v>
      </c>
      <c r="K217" s="112">
        <v>2</v>
      </c>
      <c r="L217" s="112">
        <v>2</v>
      </c>
      <c r="M217" s="74">
        <v>2.004</v>
      </c>
      <c r="N217" s="74">
        <v>1.9920000000000004</v>
      </c>
      <c r="O217" s="74">
        <v>2.0039999999999996</v>
      </c>
      <c r="P217" s="74">
        <v>2.0040000000000013</v>
      </c>
      <c r="Q217" s="74">
        <v>1.9919999999999973</v>
      </c>
      <c r="R217" s="74">
        <v>2.0040000000000013</v>
      </c>
      <c r="S217" s="74">
        <v>2.0040000000000013</v>
      </c>
      <c r="T217" s="74">
        <v>1.9919999999999973</v>
      </c>
      <c r="U217" s="74">
        <v>2.0040000000000013</v>
      </c>
      <c r="V217" s="74">
        <v>2.0040000000000013</v>
      </c>
      <c r="W217" s="74">
        <v>1.9919999999999973</v>
      </c>
      <c r="X217" s="74">
        <v>2.0040000000000013</v>
      </c>
      <c r="Y217" s="74">
        <v>2</v>
      </c>
      <c r="AA217" s="74">
        <v>2</v>
      </c>
      <c r="AB217" s="73">
        <v>0</v>
      </c>
      <c r="AD217" s="74">
        <v>2</v>
      </c>
      <c r="AE217" s="73">
        <v>0</v>
      </c>
    </row>
    <row r="218" spans="1:31" ht="12.95" customHeight="1" x14ac:dyDescent="0.2">
      <c r="A218" s="35"/>
      <c r="B218" s="35"/>
      <c r="C218" s="4"/>
      <c r="D218" s="4"/>
      <c r="F218" s="39" t="s">
        <v>71</v>
      </c>
      <c r="H218" s="132">
        <v>-4237</v>
      </c>
      <c r="I218" s="132">
        <v>-5470.9999999999991</v>
      </c>
      <c r="J218" s="132">
        <v>-5470.9999999999991</v>
      </c>
      <c r="K218" s="133">
        <v>-5999.0000000000009</v>
      </c>
      <c r="L218" s="133">
        <v>-5499.0000000000009</v>
      </c>
      <c r="M218" s="132">
        <v>-337.8243512974052</v>
      </c>
      <c r="N218" s="132">
        <v>-358.43373493975901</v>
      </c>
      <c r="O218" s="132">
        <v>-563.37325349301409</v>
      </c>
      <c r="P218" s="132">
        <v>-440.11976047904164</v>
      </c>
      <c r="Q218" s="132">
        <v>-445.28112449799266</v>
      </c>
      <c r="R218" s="132">
        <v>-384.73053892215546</v>
      </c>
      <c r="S218" s="132">
        <v>-565.36926147704537</v>
      </c>
      <c r="T218" s="132">
        <v>-187.24899598393606</v>
      </c>
      <c r="U218" s="132">
        <v>-283.43313373253483</v>
      </c>
      <c r="V218" s="132">
        <v>-705.08982035928091</v>
      </c>
      <c r="W218" s="132">
        <v>-459.33734939759086</v>
      </c>
      <c r="X218" s="132">
        <v>-584.33133732534918</v>
      </c>
      <c r="Y218" s="132">
        <v>-5316.5</v>
      </c>
      <c r="AA218" s="132">
        <v>-5999.0000000000009</v>
      </c>
      <c r="AB218" s="134">
        <v>682.5</v>
      </c>
      <c r="AD218" s="132">
        <v>-5499.0000000000009</v>
      </c>
      <c r="AE218" s="134">
        <v>182.5</v>
      </c>
    </row>
    <row r="219" spans="1:31" ht="18" customHeight="1" x14ac:dyDescent="0.2">
      <c r="A219" s="30" t="s">
        <v>63</v>
      </c>
      <c r="B219" s="30" t="s">
        <v>22</v>
      </c>
      <c r="C219" s="4">
        <v>0.2005597014925373</v>
      </c>
      <c r="D219" s="4">
        <v>0.2005597014925373</v>
      </c>
      <c r="F219" s="106" t="s">
        <v>201</v>
      </c>
      <c r="H219" s="61">
        <v>-3.3820000000000001</v>
      </c>
      <c r="I219" s="61">
        <v>-3.6629999999999998</v>
      </c>
      <c r="J219" s="61">
        <v>-3.6629999999999998</v>
      </c>
      <c r="K219" s="86">
        <v>-4.2880000000000003</v>
      </c>
      <c r="L219" s="86">
        <v>-4.2880000000000003</v>
      </c>
      <c r="M219" s="61">
        <v>-0.28599999999999998</v>
      </c>
      <c r="N219" s="61">
        <v>-0.28499999999999998</v>
      </c>
      <c r="O219" s="61">
        <v>-0.28600000000000003</v>
      </c>
      <c r="P219" s="61">
        <v>-0.28600000000000003</v>
      </c>
      <c r="Q219" s="61">
        <v>-0.28499999999999992</v>
      </c>
      <c r="R219" s="61">
        <v>-0.28600000000000003</v>
      </c>
      <c r="S219" s="61">
        <v>-0.28600000000000003</v>
      </c>
      <c r="T219" s="61">
        <v>-0.28500000000000014</v>
      </c>
      <c r="U219" s="61">
        <v>-0.28600000000000003</v>
      </c>
      <c r="V219" s="61">
        <v>-0.28600000000000003</v>
      </c>
      <c r="W219" s="61">
        <v>-0.2849999999999997</v>
      </c>
      <c r="X219" s="61">
        <v>-0.28600000000000003</v>
      </c>
      <c r="Y219" s="61">
        <v>-3.4279999999999999</v>
      </c>
      <c r="AA219" s="61">
        <v>-4.2880000000000003</v>
      </c>
      <c r="AB219" s="60">
        <v>0.86</v>
      </c>
      <c r="AD219" s="61">
        <v>-4.2880000000000003</v>
      </c>
      <c r="AE219" s="60">
        <v>0.86</v>
      </c>
    </row>
    <row r="220" spans="1:31" ht="18" customHeight="1" x14ac:dyDescent="0.2">
      <c r="A220" s="30" t="s">
        <v>64</v>
      </c>
      <c r="B220" s="30" t="s">
        <v>22</v>
      </c>
      <c r="C220" s="4">
        <v>-0.12313860252004584</v>
      </c>
      <c r="D220" s="4">
        <v>-0.5738362760834671</v>
      </c>
      <c r="F220" s="106" t="s">
        <v>202</v>
      </c>
      <c r="H220" s="61">
        <v>-2.9969999999999999</v>
      </c>
      <c r="I220" s="61">
        <v>-4.7389999999999999</v>
      </c>
      <c r="J220" s="61">
        <v>-4.7389999999999999</v>
      </c>
      <c r="K220" s="86">
        <v>-3.492</v>
      </c>
      <c r="L220" s="86">
        <v>-2.492</v>
      </c>
      <c r="M220" s="61">
        <v>-0.246</v>
      </c>
      <c r="N220" s="61">
        <v>-0.249</v>
      </c>
      <c r="O220" s="61">
        <v>-0.19899999999999995</v>
      </c>
      <c r="P220" s="61">
        <v>-0.45199999999999996</v>
      </c>
      <c r="Q220" s="61">
        <v>-0.3470000000000002</v>
      </c>
      <c r="R220" s="61">
        <v>-0.34099999999999997</v>
      </c>
      <c r="S220" s="61">
        <v>-0.66299999999999981</v>
      </c>
      <c r="T220" s="61">
        <v>8.8000000000000078E-2</v>
      </c>
      <c r="U220" s="61">
        <v>-0.13700000000000001</v>
      </c>
      <c r="V220" s="61">
        <v>-0.79</v>
      </c>
      <c r="W220" s="61">
        <v>-7.2999999999999954E-2</v>
      </c>
      <c r="X220" s="61">
        <v>-0.51300000000000034</v>
      </c>
      <c r="Y220" s="61">
        <v>-3.9220000000000002</v>
      </c>
      <c r="AA220" s="61">
        <v>-3.4919999999999995</v>
      </c>
      <c r="AB220" s="60">
        <v>-0.43</v>
      </c>
      <c r="AD220" s="61">
        <v>-2.492</v>
      </c>
      <c r="AE220" s="60">
        <v>-1.43</v>
      </c>
    </row>
    <row r="221" spans="1:31" ht="18" hidden="1" customHeight="1" outlineLevel="1" x14ac:dyDescent="0.2">
      <c r="A221" s="30" t="s">
        <v>150</v>
      </c>
      <c r="B221" s="30" t="s">
        <v>22</v>
      </c>
      <c r="C221" s="4">
        <v>-1.2350597609561753</v>
      </c>
      <c r="D221" s="4">
        <v>-1.2350597609561753</v>
      </c>
      <c r="F221" s="38" t="s">
        <v>151</v>
      </c>
      <c r="G221" s="34"/>
      <c r="H221" s="66">
        <v>-0.03</v>
      </c>
      <c r="I221" s="66">
        <v>-0.182</v>
      </c>
      <c r="J221" s="66">
        <v>-0.182</v>
      </c>
      <c r="K221" s="86">
        <v>0.502</v>
      </c>
      <c r="L221" s="86">
        <v>0.502</v>
      </c>
      <c r="M221" s="66">
        <v>0</v>
      </c>
      <c r="N221" s="66">
        <v>0</v>
      </c>
      <c r="O221" s="66">
        <v>0</v>
      </c>
      <c r="P221" s="66">
        <v>0</v>
      </c>
      <c r="Q221" s="66">
        <v>-7.9000000000000001E-2</v>
      </c>
      <c r="R221" s="66">
        <v>0</v>
      </c>
      <c r="S221" s="66">
        <v>-3.8999999999999993E-2</v>
      </c>
      <c r="T221" s="66">
        <v>0</v>
      </c>
      <c r="U221" s="66">
        <v>0</v>
      </c>
      <c r="V221" s="66">
        <v>0</v>
      </c>
      <c r="W221" s="66">
        <v>0</v>
      </c>
      <c r="X221" s="66">
        <v>0</v>
      </c>
      <c r="Y221" s="66">
        <v>-0.11799999999999999</v>
      </c>
      <c r="Z221" s="34"/>
      <c r="AA221" s="66">
        <v>0.502</v>
      </c>
      <c r="AB221" s="60">
        <v>-0.62</v>
      </c>
      <c r="AC221" s="34"/>
      <c r="AD221" s="66">
        <v>0.502</v>
      </c>
      <c r="AE221" s="60">
        <v>-0.62</v>
      </c>
    </row>
    <row r="222" spans="1:31" ht="18" hidden="1" customHeight="1" outlineLevel="1" x14ac:dyDescent="0.2">
      <c r="A222" s="30" t="s">
        <v>168</v>
      </c>
      <c r="B222" s="30" t="s">
        <v>22</v>
      </c>
      <c r="C222" s="4">
        <v>7.8431372549019607E-2</v>
      </c>
      <c r="D222" s="4">
        <v>7.8431372549019607E-2</v>
      </c>
      <c r="F222" s="38" t="s">
        <v>169</v>
      </c>
      <c r="G222" s="34"/>
      <c r="H222" s="66">
        <v>-1.4259999999999999</v>
      </c>
      <c r="I222" s="66">
        <v>-1.3380000000000001</v>
      </c>
      <c r="J222" s="66">
        <v>-1.3380000000000001</v>
      </c>
      <c r="K222" s="86">
        <v>-1.53</v>
      </c>
      <c r="L222" s="86">
        <v>-1.53</v>
      </c>
      <c r="M222" s="66">
        <v>-0.11799999999999999</v>
      </c>
      <c r="N222" s="66">
        <v>-0.11699999999999999</v>
      </c>
      <c r="O222" s="66">
        <v>-0.11799999999999999</v>
      </c>
      <c r="P222" s="66">
        <v>-0.11699999999999999</v>
      </c>
      <c r="Q222" s="66">
        <v>-0.11799999999999999</v>
      </c>
      <c r="R222" s="66">
        <v>-0.11699999999999999</v>
      </c>
      <c r="S222" s="66">
        <v>-0.11799999999999999</v>
      </c>
      <c r="T222" s="66">
        <v>-0.11699999999999999</v>
      </c>
      <c r="U222" s="66">
        <v>-0.1180000000000001</v>
      </c>
      <c r="V222" s="66">
        <v>-0.11799999999999988</v>
      </c>
      <c r="W222" s="66">
        <v>-0.11699999999999999</v>
      </c>
      <c r="X222" s="66">
        <v>-0.1180000000000001</v>
      </c>
      <c r="Y222" s="66">
        <v>-1.411</v>
      </c>
      <c r="Z222" s="34"/>
      <c r="AA222" s="66">
        <v>-1.53</v>
      </c>
      <c r="AB222" s="60">
        <v>0.12</v>
      </c>
      <c r="AC222" s="34"/>
      <c r="AD222" s="66">
        <v>-1.53</v>
      </c>
      <c r="AE222" s="60">
        <v>0.12</v>
      </c>
    </row>
    <row r="223" spans="1:31" ht="18" hidden="1" customHeight="1" outlineLevel="1" x14ac:dyDescent="0.2">
      <c r="A223" s="30" t="s">
        <v>170</v>
      </c>
      <c r="B223" s="30" t="s">
        <v>22</v>
      </c>
      <c r="C223" s="4">
        <v>-1.4689265536723168</v>
      </c>
      <c r="D223" s="4">
        <v>-1.4689265536723168</v>
      </c>
      <c r="F223" s="38" t="s">
        <v>171</v>
      </c>
      <c r="G223" s="34"/>
      <c r="H223" s="66">
        <v>0</v>
      </c>
      <c r="I223" s="66">
        <v>-0.309</v>
      </c>
      <c r="J223" s="66">
        <v>-0.309</v>
      </c>
      <c r="K223" s="86">
        <v>-0.35399999999999998</v>
      </c>
      <c r="L223" s="86">
        <v>-0.35399999999999998</v>
      </c>
      <c r="M223" s="66">
        <v>0</v>
      </c>
      <c r="N223" s="66">
        <v>0</v>
      </c>
      <c r="O223" s="66">
        <v>-0.5</v>
      </c>
      <c r="P223" s="66">
        <v>0</v>
      </c>
      <c r="Q223" s="66">
        <v>0</v>
      </c>
      <c r="R223" s="66">
        <v>0</v>
      </c>
      <c r="S223" s="66">
        <v>0</v>
      </c>
      <c r="T223" s="66">
        <v>0</v>
      </c>
      <c r="U223" s="66">
        <v>0</v>
      </c>
      <c r="V223" s="66">
        <v>0</v>
      </c>
      <c r="W223" s="66">
        <v>-0.31000000000000005</v>
      </c>
      <c r="X223" s="66">
        <v>-5.9999999999999942E-2</v>
      </c>
      <c r="Y223" s="66">
        <v>-0.87</v>
      </c>
      <c r="Z223" s="34"/>
      <c r="AA223" s="66">
        <v>-0.35399999999999993</v>
      </c>
      <c r="AB223" s="60">
        <v>-0.52</v>
      </c>
      <c r="AC223" s="34"/>
      <c r="AD223" s="66">
        <v>-0.35399999999999993</v>
      </c>
      <c r="AE223" s="60">
        <v>-0.52</v>
      </c>
    </row>
    <row r="224" spans="1:31" ht="18" customHeight="1" collapsed="1" x14ac:dyDescent="0.2">
      <c r="A224" s="35"/>
      <c r="B224" s="35"/>
      <c r="C224" s="4">
        <v>-0.73806078147612142</v>
      </c>
      <c r="D224" s="4">
        <v>-0.73806078147612142</v>
      </c>
      <c r="F224" s="106" t="s">
        <v>151</v>
      </c>
      <c r="H224" s="61">
        <v>-1.456</v>
      </c>
      <c r="I224" s="61">
        <v>-1.829</v>
      </c>
      <c r="J224" s="61">
        <v>-1.829</v>
      </c>
      <c r="K224" s="86">
        <v>-1.3820000000000001</v>
      </c>
      <c r="L224" s="86">
        <v>-1.3820000000000001</v>
      </c>
      <c r="M224" s="61">
        <v>-0.11799999999999999</v>
      </c>
      <c r="N224" s="61">
        <v>-0.11699999999999999</v>
      </c>
      <c r="O224" s="61">
        <v>-0.61799999999999999</v>
      </c>
      <c r="P224" s="61">
        <v>-0.11699999999999999</v>
      </c>
      <c r="Q224" s="61">
        <v>-0.19700000000000001</v>
      </c>
      <c r="R224" s="61">
        <v>-0.11699999999999999</v>
      </c>
      <c r="S224" s="61">
        <v>-0.15699999999999997</v>
      </c>
      <c r="T224" s="61">
        <v>-0.11699999999999999</v>
      </c>
      <c r="U224" s="61">
        <v>-0.1180000000000001</v>
      </c>
      <c r="V224" s="61">
        <v>-0.11799999999999988</v>
      </c>
      <c r="W224" s="61">
        <v>-0.42700000000000005</v>
      </c>
      <c r="X224" s="61">
        <v>-0.17800000000000005</v>
      </c>
      <c r="Y224" s="61">
        <v>-2.399</v>
      </c>
      <c r="AA224" s="61">
        <v>-1.3820000000000003</v>
      </c>
      <c r="AB224" s="60">
        <v>-1.02</v>
      </c>
      <c r="AD224" s="61">
        <v>-1.3820000000000003</v>
      </c>
      <c r="AE224" s="60">
        <v>-1.02</v>
      </c>
    </row>
    <row r="225" spans="1:39" ht="18" customHeight="1" collapsed="1" x14ac:dyDescent="0.2">
      <c r="A225" s="30" t="s">
        <v>146</v>
      </c>
      <c r="B225" s="30" t="s">
        <v>22</v>
      </c>
      <c r="C225" s="4">
        <v>-4.2016806722689079E-2</v>
      </c>
      <c r="D225" s="4">
        <v>-4.2016806722689079E-2</v>
      </c>
      <c r="F225" s="106" t="s">
        <v>147</v>
      </c>
      <c r="H225" s="61">
        <v>-0.26200000000000001</v>
      </c>
      <c r="I225" s="61">
        <v>-0.32200000000000001</v>
      </c>
      <c r="J225" s="61">
        <v>-0.32200000000000001</v>
      </c>
      <c r="K225" s="86">
        <v>-0.47599999999999998</v>
      </c>
      <c r="L225" s="86">
        <v>-0.47599999999999998</v>
      </c>
      <c r="M225" s="61">
        <v>-2.7E-2</v>
      </c>
      <c r="N225" s="61">
        <v>-2.7E-2</v>
      </c>
      <c r="O225" s="61">
        <v>-2.6000000000000002E-2</v>
      </c>
      <c r="P225" s="61">
        <v>-2.6999999999999996E-2</v>
      </c>
      <c r="Q225" s="61">
        <v>-2.700000000000001E-2</v>
      </c>
      <c r="R225" s="61">
        <v>-2.6999999999999996E-2</v>
      </c>
      <c r="S225" s="61">
        <v>-2.6999999999999996E-2</v>
      </c>
      <c r="T225" s="61">
        <v>-2.5999999999999995E-2</v>
      </c>
      <c r="U225" s="61">
        <v>-2.6999999999999996E-2</v>
      </c>
      <c r="V225" s="61">
        <v>-0.192</v>
      </c>
      <c r="W225" s="61">
        <v>-0.10000000000000003</v>
      </c>
      <c r="X225" s="61">
        <v>3.400000000000003E-2</v>
      </c>
      <c r="Y225" s="61">
        <v>-0.499</v>
      </c>
      <c r="AA225" s="61">
        <v>-0.47599999999999998</v>
      </c>
      <c r="AB225" s="60">
        <v>-0.02</v>
      </c>
      <c r="AD225" s="61">
        <v>-0.47599999999999998</v>
      </c>
      <c r="AE225" s="60">
        <v>-0.02</v>
      </c>
    </row>
    <row r="226" spans="1:39" ht="18" hidden="1" customHeight="1" outlineLevel="1" x14ac:dyDescent="0.2">
      <c r="A226" s="30" t="s">
        <v>154</v>
      </c>
      <c r="B226" s="30" t="s">
        <v>22</v>
      </c>
      <c r="C226" s="4">
        <v>1.0037878787878789</v>
      </c>
      <c r="D226" s="4">
        <v>1.0037878787878789</v>
      </c>
      <c r="F226" s="38" t="s">
        <v>155</v>
      </c>
      <c r="G226" s="34"/>
      <c r="H226" s="66">
        <v>0</v>
      </c>
      <c r="I226" s="66">
        <v>0</v>
      </c>
      <c r="J226" s="66">
        <v>0</v>
      </c>
      <c r="K226" s="86">
        <v>-0.52800000000000002</v>
      </c>
      <c r="L226" s="86">
        <v>-0.52800000000000002</v>
      </c>
      <c r="M226" s="66">
        <v>0</v>
      </c>
      <c r="N226" s="66">
        <v>0</v>
      </c>
      <c r="O226" s="66">
        <v>0</v>
      </c>
      <c r="P226" s="66">
        <v>0</v>
      </c>
      <c r="Q226" s="66">
        <v>0</v>
      </c>
      <c r="R226" s="66">
        <v>0</v>
      </c>
      <c r="S226" s="66">
        <v>0</v>
      </c>
      <c r="T226" s="66">
        <v>0</v>
      </c>
      <c r="U226" s="66">
        <v>0</v>
      </c>
      <c r="V226" s="66">
        <v>0</v>
      </c>
      <c r="W226" s="66">
        <v>0</v>
      </c>
      <c r="X226" s="66">
        <v>0</v>
      </c>
      <c r="Y226" s="66">
        <v>0</v>
      </c>
      <c r="Z226" s="34"/>
      <c r="AA226" s="66">
        <v>-0.52800000000000002</v>
      </c>
      <c r="AB226" s="60">
        <v>0.53</v>
      </c>
      <c r="AC226" s="34"/>
      <c r="AD226" s="66">
        <v>-0.52800000000000002</v>
      </c>
      <c r="AE226" s="60">
        <v>0.53</v>
      </c>
    </row>
    <row r="227" spans="1:39" ht="18" hidden="1" customHeight="1" outlineLevel="1" x14ac:dyDescent="0.2">
      <c r="A227" s="30" t="s">
        <v>156</v>
      </c>
      <c r="B227" s="30" t="s">
        <v>22</v>
      </c>
      <c r="C227" s="4">
        <v>0.99462365591397839</v>
      </c>
      <c r="D227" s="4">
        <v>0.99462365591397839</v>
      </c>
      <c r="F227" s="38" t="s">
        <v>157</v>
      </c>
      <c r="G227" s="34"/>
      <c r="H227" s="66">
        <v>0</v>
      </c>
      <c r="I227" s="66">
        <v>0</v>
      </c>
      <c r="J227" s="66">
        <v>0</v>
      </c>
      <c r="K227" s="86">
        <v>-0.372</v>
      </c>
      <c r="L227" s="86">
        <v>-0.372</v>
      </c>
      <c r="M227" s="66">
        <v>0</v>
      </c>
      <c r="N227" s="66">
        <v>0</v>
      </c>
      <c r="O227" s="66">
        <v>0</v>
      </c>
      <c r="P227" s="66">
        <v>0</v>
      </c>
      <c r="Q227" s="66">
        <v>0</v>
      </c>
      <c r="R227" s="66">
        <v>0</v>
      </c>
      <c r="S227" s="66">
        <v>0</v>
      </c>
      <c r="T227" s="66">
        <v>0</v>
      </c>
      <c r="U227" s="66">
        <v>0</v>
      </c>
      <c r="V227" s="66">
        <v>0</v>
      </c>
      <c r="W227" s="66">
        <v>0</v>
      </c>
      <c r="X227" s="66">
        <v>0</v>
      </c>
      <c r="Y227" s="66">
        <v>0</v>
      </c>
      <c r="Z227" s="34"/>
      <c r="AA227" s="66">
        <v>-0.37200000000000005</v>
      </c>
      <c r="AB227" s="60">
        <v>0.37</v>
      </c>
      <c r="AC227" s="34"/>
      <c r="AD227" s="66">
        <v>-0.37200000000000005</v>
      </c>
      <c r="AE227" s="60">
        <v>0.37</v>
      </c>
    </row>
    <row r="228" spans="1:39" ht="18" hidden="1" customHeight="1" outlineLevel="1" x14ac:dyDescent="0.2">
      <c r="A228" s="30" t="s">
        <v>160</v>
      </c>
      <c r="B228" s="30" t="s">
        <v>22</v>
      </c>
      <c r="C228" s="4">
        <v>0</v>
      </c>
      <c r="D228" s="4">
        <v>0</v>
      </c>
      <c r="F228" s="38" t="s">
        <v>161</v>
      </c>
      <c r="G228" s="34"/>
      <c r="H228" s="66">
        <v>0</v>
      </c>
      <c r="I228" s="66">
        <v>0</v>
      </c>
      <c r="J228" s="66">
        <v>0</v>
      </c>
      <c r="K228" s="86">
        <v>0</v>
      </c>
      <c r="L228" s="86">
        <v>0</v>
      </c>
      <c r="M228" s="66">
        <v>0</v>
      </c>
      <c r="N228" s="66">
        <v>0</v>
      </c>
      <c r="O228" s="66">
        <v>0</v>
      </c>
      <c r="P228" s="66">
        <v>0</v>
      </c>
      <c r="Q228" s="66">
        <v>0</v>
      </c>
      <c r="R228" s="66">
        <v>0</v>
      </c>
      <c r="S228" s="66">
        <v>0</v>
      </c>
      <c r="T228" s="66">
        <v>0</v>
      </c>
      <c r="U228" s="66">
        <v>0</v>
      </c>
      <c r="V228" s="66">
        <v>0</v>
      </c>
      <c r="W228" s="66">
        <v>0</v>
      </c>
      <c r="X228" s="66">
        <v>0</v>
      </c>
      <c r="Y228" s="66">
        <v>0</v>
      </c>
      <c r="Z228" s="34"/>
      <c r="AA228" s="66">
        <v>0</v>
      </c>
      <c r="AB228" s="60">
        <v>0</v>
      </c>
      <c r="AC228" s="34"/>
      <c r="AD228" s="66">
        <v>0</v>
      </c>
      <c r="AE228" s="60">
        <v>0</v>
      </c>
    </row>
    <row r="229" spans="1:39" ht="18" customHeight="1" collapsed="1" x14ac:dyDescent="0.2">
      <c r="A229" s="35"/>
      <c r="B229" s="35"/>
      <c r="C229" s="4">
        <v>1</v>
      </c>
      <c r="D229" s="4">
        <v>1</v>
      </c>
      <c r="F229" s="106" t="s">
        <v>378</v>
      </c>
      <c r="H229" s="61">
        <v>0</v>
      </c>
      <c r="I229" s="61">
        <v>0</v>
      </c>
      <c r="J229" s="61">
        <v>0</v>
      </c>
      <c r="K229" s="86">
        <v>-0.9</v>
      </c>
      <c r="L229" s="86">
        <v>-0.9</v>
      </c>
      <c r="M229" s="61">
        <v>0</v>
      </c>
      <c r="N229" s="61">
        <v>0</v>
      </c>
      <c r="O229" s="61">
        <v>0</v>
      </c>
      <c r="P229" s="61">
        <v>0</v>
      </c>
      <c r="Q229" s="61">
        <v>0</v>
      </c>
      <c r="R229" s="61">
        <v>0</v>
      </c>
      <c r="S229" s="61">
        <v>0</v>
      </c>
      <c r="T229" s="61">
        <v>0</v>
      </c>
      <c r="U229" s="61">
        <v>0</v>
      </c>
      <c r="V229" s="61">
        <v>0</v>
      </c>
      <c r="W229" s="61">
        <v>0</v>
      </c>
      <c r="X229" s="61">
        <v>0</v>
      </c>
      <c r="Y229" s="61">
        <v>0</v>
      </c>
      <c r="AA229" s="61">
        <v>-0.9</v>
      </c>
      <c r="AB229" s="60">
        <v>0.9</v>
      </c>
      <c r="AD229" s="61">
        <v>-0.9</v>
      </c>
      <c r="AE229" s="60">
        <v>0.9</v>
      </c>
    </row>
    <row r="230" spans="1:39" ht="18" customHeight="1" x14ac:dyDescent="0.2">
      <c r="A230" s="30" t="s">
        <v>408</v>
      </c>
      <c r="B230" s="30" t="s">
        <v>22</v>
      </c>
      <c r="C230" s="4"/>
      <c r="D230" s="4"/>
      <c r="F230" s="106" t="s">
        <v>409</v>
      </c>
      <c r="H230" s="61">
        <v>-0.124</v>
      </c>
      <c r="I230" s="61">
        <v>-0.13200000000000001</v>
      </c>
      <c r="J230" s="61">
        <v>-0.13200000000000001</v>
      </c>
      <c r="K230" s="86">
        <v>0</v>
      </c>
      <c r="L230" s="86">
        <v>0</v>
      </c>
      <c r="M230" s="61">
        <v>0</v>
      </c>
      <c r="N230" s="61">
        <v>-3.5999999999999997E-2</v>
      </c>
      <c r="O230" s="61">
        <v>0</v>
      </c>
      <c r="P230" s="61">
        <v>0</v>
      </c>
      <c r="Q230" s="61">
        <v>-3.1000000000000007E-2</v>
      </c>
      <c r="R230" s="61">
        <v>0</v>
      </c>
      <c r="S230" s="61">
        <v>0</v>
      </c>
      <c r="T230" s="61">
        <v>-3.3000000000000002E-2</v>
      </c>
      <c r="U230" s="61">
        <v>0</v>
      </c>
      <c r="V230" s="61">
        <v>0</v>
      </c>
      <c r="W230" s="61">
        <v>-0.03</v>
      </c>
      <c r="X230" s="61">
        <v>0</v>
      </c>
      <c r="Y230" s="61">
        <v>-0.13</v>
      </c>
      <c r="AA230" s="61">
        <v>0</v>
      </c>
      <c r="AB230" s="60">
        <v>-0.13</v>
      </c>
      <c r="AD230" s="61">
        <v>0</v>
      </c>
      <c r="AE230" s="60">
        <v>-0.13</v>
      </c>
      <c r="AM230"/>
    </row>
    <row r="231" spans="1:39" ht="18" hidden="1" customHeight="1" outlineLevel="1" x14ac:dyDescent="0.2">
      <c r="A231" s="30" t="s">
        <v>148</v>
      </c>
      <c r="B231" s="30" t="s">
        <v>22</v>
      </c>
      <c r="C231" s="4">
        <v>0</v>
      </c>
      <c r="D231" s="4">
        <v>0</v>
      </c>
      <c r="F231" s="38" t="s">
        <v>149</v>
      </c>
      <c r="G231" s="34"/>
      <c r="H231" s="66">
        <v>0</v>
      </c>
      <c r="I231" s="66">
        <v>0</v>
      </c>
      <c r="J231" s="66">
        <v>0</v>
      </c>
      <c r="K231" s="86">
        <v>0</v>
      </c>
      <c r="L231" s="86">
        <v>0</v>
      </c>
      <c r="M231" s="66">
        <v>0</v>
      </c>
      <c r="N231" s="66">
        <v>0</v>
      </c>
      <c r="O231" s="66">
        <v>0</v>
      </c>
      <c r="P231" s="66">
        <v>0</v>
      </c>
      <c r="Q231" s="66">
        <v>0</v>
      </c>
      <c r="R231" s="66">
        <v>0</v>
      </c>
      <c r="S231" s="66">
        <v>0</v>
      </c>
      <c r="T231" s="66">
        <v>0</v>
      </c>
      <c r="U231" s="66">
        <v>0</v>
      </c>
      <c r="V231" s="66">
        <v>0</v>
      </c>
      <c r="W231" s="66">
        <v>0</v>
      </c>
      <c r="X231" s="66">
        <v>0</v>
      </c>
      <c r="Y231" s="66">
        <v>0</v>
      </c>
      <c r="Z231" s="34"/>
      <c r="AA231" s="66">
        <v>0</v>
      </c>
      <c r="AB231" s="60">
        <v>0</v>
      </c>
      <c r="AC231" s="34"/>
      <c r="AD231" s="66">
        <v>0</v>
      </c>
      <c r="AE231" s="60">
        <v>0</v>
      </c>
    </row>
    <row r="232" spans="1:39" ht="18" hidden="1" customHeight="1" outlineLevel="1" x14ac:dyDescent="0.2">
      <c r="A232" s="30" t="s">
        <v>158</v>
      </c>
      <c r="B232" s="30" t="s">
        <v>22</v>
      </c>
      <c r="C232" s="4">
        <v>0.9624999999999998</v>
      </c>
      <c r="D232" s="4">
        <v>0.9624999999999998</v>
      </c>
      <c r="F232" s="38" t="s">
        <v>159</v>
      </c>
      <c r="G232" s="34"/>
      <c r="H232" s="66">
        <v>-2.5000000000000001E-2</v>
      </c>
      <c r="I232" s="66">
        <v>-2.9000000000000001E-2</v>
      </c>
      <c r="J232" s="66">
        <v>-2.9000000000000001E-2</v>
      </c>
      <c r="K232" s="86">
        <v>-0.8</v>
      </c>
      <c r="L232" s="86">
        <v>-0.8</v>
      </c>
      <c r="M232" s="66">
        <v>0</v>
      </c>
      <c r="N232" s="66">
        <v>0</v>
      </c>
      <c r="O232" s="66">
        <v>0</v>
      </c>
      <c r="P232" s="66">
        <v>0</v>
      </c>
      <c r="Q232" s="66">
        <v>0</v>
      </c>
      <c r="R232" s="66">
        <v>0</v>
      </c>
      <c r="S232" s="66">
        <v>0</v>
      </c>
      <c r="T232" s="66">
        <v>0</v>
      </c>
      <c r="U232" s="66">
        <v>0</v>
      </c>
      <c r="V232" s="66">
        <v>-2.7E-2</v>
      </c>
      <c r="W232" s="66">
        <v>0</v>
      </c>
      <c r="X232" s="66">
        <v>0</v>
      </c>
      <c r="Y232" s="66">
        <v>-2.7E-2</v>
      </c>
      <c r="Z232" s="34"/>
      <c r="AA232" s="66">
        <v>-0.80000000000000016</v>
      </c>
      <c r="AB232" s="60">
        <v>0.77</v>
      </c>
      <c r="AC232" s="34"/>
      <c r="AD232" s="66">
        <v>-0.80000000000000016</v>
      </c>
      <c r="AE232" s="60">
        <v>0.77</v>
      </c>
    </row>
    <row r="233" spans="1:39" ht="18" hidden="1" customHeight="1" outlineLevel="1" x14ac:dyDescent="0.2">
      <c r="A233" s="30" t="s">
        <v>152</v>
      </c>
      <c r="B233" s="30" t="s">
        <v>22</v>
      </c>
      <c r="C233" s="4">
        <v>0</v>
      </c>
      <c r="D233" s="4">
        <v>0</v>
      </c>
      <c r="F233" s="38" t="s">
        <v>153</v>
      </c>
      <c r="G233" s="34"/>
      <c r="H233" s="66">
        <v>0</v>
      </c>
      <c r="I233" s="66">
        <v>0</v>
      </c>
      <c r="J233" s="66">
        <v>0</v>
      </c>
      <c r="K233" s="86">
        <v>0</v>
      </c>
      <c r="L233" s="86">
        <v>0</v>
      </c>
      <c r="M233" s="66">
        <v>0</v>
      </c>
      <c r="N233" s="66">
        <v>0</v>
      </c>
      <c r="O233" s="66">
        <v>0</v>
      </c>
      <c r="P233" s="66">
        <v>0</v>
      </c>
      <c r="Q233" s="66">
        <v>0</v>
      </c>
      <c r="R233" s="66">
        <v>0</v>
      </c>
      <c r="S233" s="66">
        <v>0</v>
      </c>
      <c r="T233" s="66">
        <v>0</v>
      </c>
      <c r="U233" s="66">
        <v>0</v>
      </c>
      <c r="V233" s="66">
        <v>0</v>
      </c>
      <c r="W233" s="66">
        <v>0</v>
      </c>
      <c r="X233" s="66">
        <v>0</v>
      </c>
      <c r="Y233" s="66">
        <v>0</v>
      </c>
      <c r="Z233" s="34"/>
      <c r="AA233" s="66">
        <v>0</v>
      </c>
      <c r="AB233" s="60">
        <v>0</v>
      </c>
      <c r="AC233" s="34"/>
      <c r="AD233" s="66">
        <v>0</v>
      </c>
      <c r="AE233" s="60">
        <v>0</v>
      </c>
    </row>
    <row r="234" spans="1:39" ht="18" hidden="1" customHeight="1" outlineLevel="1" x14ac:dyDescent="0.2">
      <c r="A234" s="30" t="s">
        <v>269</v>
      </c>
      <c r="B234" s="30" t="s">
        <v>22</v>
      </c>
      <c r="C234" s="4">
        <v>0</v>
      </c>
      <c r="D234" s="4">
        <v>0</v>
      </c>
      <c r="F234" s="38" t="s">
        <v>271</v>
      </c>
      <c r="G234" s="34"/>
      <c r="H234" s="66">
        <v>0</v>
      </c>
      <c r="I234" s="66">
        <v>0</v>
      </c>
      <c r="J234" s="66">
        <v>0</v>
      </c>
      <c r="K234" s="86">
        <v>0</v>
      </c>
      <c r="L234" s="86">
        <v>0</v>
      </c>
      <c r="M234" s="66">
        <v>0</v>
      </c>
      <c r="N234" s="66">
        <v>0</v>
      </c>
      <c r="O234" s="66">
        <v>0</v>
      </c>
      <c r="P234" s="66">
        <v>0</v>
      </c>
      <c r="Q234" s="66">
        <v>0</v>
      </c>
      <c r="R234" s="66">
        <v>0</v>
      </c>
      <c r="S234" s="66">
        <v>0</v>
      </c>
      <c r="T234" s="66">
        <v>0</v>
      </c>
      <c r="U234" s="66">
        <v>0</v>
      </c>
      <c r="V234" s="66">
        <v>0</v>
      </c>
      <c r="W234" s="66">
        <v>0</v>
      </c>
      <c r="X234" s="66">
        <v>0</v>
      </c>
      <c r="Y234" s="66">
        <v>0</v>
      </c>
      <c r="Z234" s="34"/>
      <c r="AA234" s="66">
        <v>0</v>
      </c>
      <c r="AB234" s="60">
        <v>0</v>
      </c>
      <c r="AC234" s="34"/>
      <c r="AD234" s="66">
        <v>0</v>
      </c>
      <c r="AE234" s="60">
        <v>0</v>
      </c>
    </row>
    <row r="235" spans="1:39" ht="18" hidden="1" customHeight="1" outlineLevel="1" x14ac:dyDescent="0.2">
      <c r="A235" s="30" t="s">
        <v>270</v>
      </c>
      <c r="B235" s="30" t="s">
        <v>22</v>
      </c>
      <c r="C235" s="4">
        <v>0</v>
      </c>
      <c r="D235" s="4">
        <v>0</v>
      </c>
      <c r="F235" s="38" t="s">
        <v>272</v>
      </c>
      <c r="G235" s="34"/>
      <c r="H235" s="66">
        <v>0</v>
      </c>
      <c r="I235" s="66">
        <v>0</v>
      </c>
      <c r="J235" s="66">
        <v>0</v>
      </c>
      <c r="K235" s="86">
        <v>0</v>
      </c>
      <c r="L235" s="86">
        <v>0</v>
      </c>
      <c r="M235" s="66">
        <v>0</v>
      </c>
      <c r="N235" s="66">
        <v>0</v>
      </c>
      <c r="O235" s="66">
        <v>0</v>
      </c>
      <c r="P235" s="66">
        <v>0</v>
      </c>
      <c r="Q235" s="66">
        <v>0</v>
      </c>
      <c r="R235" s="66">
        <v>0</v>
      </c>
      <c r="S235" s="66">
        <v>0</v>
      </c>
      <c r="T235" s="66">
        <v>0</v>
      </c>
      <c r="U235" s="66">
        <v>0</v>
      </c>
      <c r="V235" s="66">
        <v>0</v>
      </c>
      <c r="W235" s="66">
        <v>0</v>
      </c>
      <c r="X235" s="66">
        <v>0</v>
      </c>
      <c r="Y235" s="66">
        <v>0</v>
      </c>
      <c r="Z235" s="34"/>
      <c r="AA235" s="66">
        <v>0</v>
      </c>
      <c r="AB235" s="60">
        <v>0</v>
      </c>
      <c r="AC235" s="34"/>
      <c r="AD235" s="66">
        <v>0</v>
      </c>
      <c r="AE235" s="60">
        <v>0</v>
      </c>
    </row>
    <row r="236" spans="1:39" ht="18" hidden="1" customHeight="1" outlineLevel="1" x14ac:dyDescent="0.2">
      <c r="A236" s="30" t="s">
        <v>162</v>
      </c>
      <c r="B236" s="30" t="s">
        <v>22</v>
      </c>
      <c r="C236" s="4">
        <v>0.65151515151515149</v>
      </c>
      <c r="D236" s="4">
        <v>0.65151515151515149</v>
      </c>
      <c r="F236" s="38" t="s">
        <v>163</v>
      </c>
      <c r="G236" s="34"/>
      <c r="H236" s="66">
        <v>-0.22800000000000001</v>
      </c>
      <c r="I236" s="66">
        <v>-0.22800000000000001</v>
      </c>
      <c r="J236" s="66">
        <v>-0.22800000000000001</v>
      </c>
      <c r="K236" s="86">
        <v>-0.66</v>
      </c>
      <c r="L236" s="86">
        <v>-0.66</v>
      </c>
      <c r="M236" s="66">
        <v>0</v>
      </c>
      <c r="N236" s="66">
        <v>0</v>
      </c>
      <c r="O236" s="66">
        <v>0</v>
      </c>
      <c r="P236" s="66">
        <v>0</v>
      </c>
      <c r="Q236" s="66">
        <v>0</v>
      </c>
      <c r="R236" s="66">
        <v>0</v>
      </c>
      <c r="S236" s="66">
        <v>0</v>
      </c>
      <c r="T236" s="66">
        <v>0</v>
      </c>
      <c r="U236" s="66">
        <v>0</v>
      </c>
      <c r="V236" s="66">
        <v>0</v>
      </c>
      <c r="W236" s="66">
        <v>0</v>
      </c>
      <c r="X236" s="66">
        <v>-0.22800000000000001</v>
      </c>
      <c r="Y236" s="66">
        <v>-0.22800000000000001</v>
      </c>
      <c r="Z236" s="34"/>
      <c r="AA236" s="66">
        <v>-0.66</v>
      </c>
      <c r="AB236" s="60">
        <v>0.43</v>
      </c>
      <c r="AC236" s="34"/>
      <c r="AD236" s="66">
        <v>-0.66</v>
      </c>
      <c r="AE236" s="60">
        <v>0.43</v>
      </c>
    </row>
    <row r="237" spans="1:39" ht="18" hidden="1" customHeight="1" outlineLevel="1" x14ac:dyDescent="0.2">
      <c r="A237" s="30" t="s">
        <v>164</v>
      </c>
      <c r="B237" s="30" t="s">
        <v>22</v>
      </c>
      <c r="C237" s="4">
        <v>0</v>
      </c>
      <c r="D237" s="4">
        <v>0</v>
      </c>
      <c r="F237" s="38" t="s">
        <v>165</v>
      </c>
      <c r="G237" s="34"/>
      <c r="H237" s="66">
        <v>0</v>
      </c>
      <c r="I237" s="66">
        <v>0</v>
      </c>
      <c r="J237" s="66">
        <v>0</v>
      </c>
      <c r="K237" s="86">
        <v>0</v>
      </c>
      <c r="L237" s="8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0</v>
      </c>
      <c r="R237" s="66">
        <v>0</v>
      </c>
      <c r="S237" s="66">
        <v>0</v>
      </c>
      <c r="T237" s="66">
        <v>0</v>
      </c>
      <c r="U237" s="66">
        <v>0</v>
      </c>
      <c r="V237" s="66">
        <v>0</v>
      </c>
      <c r="W237" s="66">
        <v>0</v>
      </c>
      <c r="X237" s="66">
        <v>0</v>
      </c>
      <c r="Y237" s="66">
        <v>0</v>
      </c>
      <c r="Z237" s="34"/>
      <c r="AA237" s="66">
        <v>0</v>
      </c>
      <c r="AB237" s="60">
        <v>0</v>
      </c>
      <c r="AC237" s="34"/>
      <c r="AD237" s="66">
        <v>0</v>
      </c>
      <c r="AE237" s="60">
        <v>0</v>
      </c>
    </row>
    <row r="238" spans="1:39" ht="18" hidden="1" customHeight="1" outlineLevel="1" x14ac:dyDescent="0.2">
      <c r="A238" s="30" t="s">
        <v>166</v>
      </c>
      <c r="B238" s="30" t="s">
        <v>22</v>
      </c>
      <c r="C238" s="4">
        <v>0</v>
      </c>
      <c r="D238" s="4">
        <v>0</v>
      </c>
      <c r="F238" s="38" t="s">
        <v>167</v>
      </c>
      <c r="G238" s="34"/>
      <c r="H238" s="66">
        <v>0</v>
      </c>
      <c r="I238" s="66">
        <v>0</v>
      </c>
      <c r="J238" s="66">
        <v>0</v>
      </c>
      <c r="K238" s="86">
        <v>0</v>
      </c>
      <c r="L238" s="86">
        <v>0</v>
      </c>
      <c r="M238" s="66">
        <v>0</v>
      </c>
      <c r="N238" s="66">
        <v>0</v>
      </c>
      <c r="O238" s="66">
        <v>0</v>
      </c>
      <c r="P238" s="66">
        <v>0</v>
      </c>
      <c r="Q238" s="66">
        <v>0</v>
      </c>
      <c r="R238" s="66">
        <v>0</v>
      </c>
      <c r="S238" s="66">
        <v>0</v>
      </c>
      <c r="T238" s="66">
        <v>0</v>
      </c>
      <c r="U238" s="66">
        <v>0</v>
      </c>
      <c r="V238" s="66">
        <v>0</v>
      </c>
      <c r="W238" s="66">
        <v>0</v>
      </c>
      <c r="X238" s="66">
        <v>0</v>
      </c>
      <c r="Y238" s="66">
        <v>0</v>
      </c>
      <c r="Z238" s="34"/>
      <c r="AA238" s="66">
        <v>0</v>
      </c>
      <c r="AB238" s="60">
        <v>0</v>
      </c>
      <c r="AC238" s="34"/>
      <c r="AD238" s="66">
        <v>0</v>
      </c>
      <c r="AE238" s="60">
        <v>0</v>
      </c>
    </row>
    <row r="239" spans="1:39" ht="18" customHeight="1" collapsed="1" x14ac:dyDescent="0.2">
      <c r="A239" s="35"/>
      <c r="B239" s="35"/>
      <c r="C239" s="4">
        <v>0.82876712328767121</v>
      </c>
      <c r="D239" s="4">
        <v>0.82876712328767121</v>
      </c>
      <c r="F239" s="106" t="s">
        <v>189</v>
      </c>
      <c r="H239" s="61">
        <v>-0.253</v>
      </c>
      <c r="I239" s="61">
        <v>-0.25700000000000001</v>
      </c>
      <c r="J239" s="61">
        <v>-0.25700000000000001</v>
      </c>
      <c r="K239" s="86">
        <v>-1.46</v>
      </c>
      <c r="L239" s="86">
        <v>-1.46</v>
      </c>
      <c r="M239" s="61">
        <v>0</v>
      </c>
      <c r="N239" s="61">
        <v>0</v>
      </c>
      <c r="O239" s="61">
        <v>0</v>
      </c>
      <c r="P239" s="61">
        <v>0</v>
      </c>
      <c r="Q239" s="61">
        <v>0</v>
      </c>
      <c r="R239" s="61">
        <v>0</v>
      </c>
      <c r="S239" s="61">
        <v>0</v>
      </c>
      <c r="T239" s="61">
        <v>0</v>
      </c>
      <c r="U239" s="61">
        <v>0</v>
      </c>
      <c r="V239" s="61">
        <v>-2.7E-2</v>
      </c>
      <c r="W239" s="61">
        <v>0</v>
      </c>
      <c r="X239" s="61">
        <v>-0.22800000000000001</v>
      </c>
      <c r="Y239" s="61">
        <v>-0.255</v>
      </c>
      <c r="AA239" s="61">
        <v>-1.46</v>
      </c>
      <c r="AB239" s="60">
        <v>1.21</v>
      </c>
      <c r="AD239" s="61">
        <v>-1.46</v>
      </c>
      <c r="AE239" s="60">
        <v>1.21</v>
      </c>
    </row>
    <row r="240" spans="1:39" ht="18" customHeight="1" x14ac:dyDescent="0.2">
      <c r="A240" s="35"/>
      <c r="B240" s="35"/>
      <c r="C240" s="4">
        <v>0.1141856976162694</v>
      </c>
      <c r="D240" s="4">
        <v>3.2733224222585927E-2</v>
      </c>
      <c r="F240" s="95" t="s">
        <v>65</v>
      </c>
      <c r="H240" s="195">
        <v>-8.4740000000000002</v>
      </c>
      <c r="I240" s="195">
        <v>-10.941999999999998</v>
      </c>
      <c r="J240" s="64">
        <v>-10.941999999999998</v>
      </c>
      <c r="K240" s="89">
        <v>-11.998000000000001</v>
      </c>
      <c r="L240" s="89">
        <v>-10.998000000000001</v>
      </c>
      <c r="M240" s="64">
        <v>-0.67700000000000005</v>
      </c>
      <c r="N240" s="64">
        <v>-0.71400000000000008</v>
      </c>
      <c r="O240" s="64">
        <v>-1.129</v>
      </c>
      <c r="P240" s="64">
        <v>-0.88200000000000001</v>
      </c>
      <c r="Q240" s="64">
        <v>-0.88700000000000023</v>
      </c>
      <c r="R240" s="64">
        <v>-0.77100000000000002</v>
      </c>
      <c r="S240" s="64">
        <v>-1.1329999999999998</v>
      </c>
      <c r="T240" s="64">
        <v>-0.37300000000000011</v>
      </c>
      <c r="U240" s="64">
        <v>-0.56800000000000017</v>
      </c>
      <c r="V240" s="64">
        <v>-1.4129999999999998</v>
      </c>
      <c r="W240" s="64">
        <v>-0.91499999999999981</v>
      </c>
      <c r="X240" s="64">
        <v>-1.1710000000000005</v>
      </c>
      <c r="Y240" s="64">
        <v>-10.633000000000001</v>
      </c>
      <c r="AA240" s="64">
        <v>-11.997999999999999</v>
      </c>
      <c r="AB240" s="60">
        <v>1.37</v>
      </c>
      <c r="AD240" s="64">
        <v>-10.997999999999999</v>
      </c>
      <c r="AE240" s="60">
        <v>0.36</v>
      </c>
    </row>
    <row r="241" spans="1:31" ht="12.95" customHeight="1" x14ac:dyDescent="0.2">
      <c r="A241" s="35"/>
      <c r="B241" s="35"/>
      <c r="C241" s="4"/>
      <c r="D241" s="4"/>
      <c r="F241" s="39" t="s">
        <v>223</v>
      </c>
      <c r="H241" s="56">
        <v>1.2520012221564915E-3</v>
      </c>
      <c r="I241" s="56">
        <v>1.6024678766846632E-3</v>
      </c>
      <c r="J241" s="56">
        <v>1.6024678766846632E-3</v>
      </c>
      <c r="K241" s="109">
        <v>1.8732173170962854E-3</v>
      </c>
      <c r="L241" s="109">
        <v>1.7215580930370819E-3</v>
      </c>
      <c r="M241" s="56">
        <v>1.2969000831395327E-3</v>
      </c>
      <c r="N241" s="56">
        <v>1.2431141227514262E-3</v>
      </c>
      <c r="O241" s="56">
        <v>2.140272188025471E-3</v>
      </c>
      <c r="P241" s="56">
        <v>1.3931448428368349E-3</v>
      </c>
      <c r="Q241" s="56">
        <v>1.6482393384744031E-3</v>
      </c>
      <c r="R241" s="56">
        <v>1.377452302810825E-3</v>
      </c>
      <c r="S241" s="56">
        <v>2.2120999720802903E-3</v>
      </c>
      <c r="T241" s="56">
        <v>7.0496271068557219E-4</v>
      </c>
      <c r="U241" s="56">
        <v>1.0404797930764135E-3</v>
      </c>
      <c r="V241" s="56">
        <v>2.7964360777856458E-3</v>
      </c>
      <c r="W241" s="56">
        <v>1.5701361814288081E-3</v>
      </c>
      <c r="X241" s="56">
        <v>1.9999897524009265E-3</v>
      </c>
      <c r="Y241" s="56">
        <v>1.6072635676444376E-3</v>
      </c>
      <c r="AA241" s="56">
        <v>1.8732173170962851E-3</v>
      </c>
      <c r="AB241" s="57"/>
      <c r="AD241" s="56">
        <v>1.7215580930370815E-3</v>
      </c>
      <c r="AE241" s="57"/>
    </row>
    <row r="242" spans="1:31" ht="6.95" customHeight="1" x14ac:dyDescent="0.2">
      <c r="C242" s="4"/>
      <c r="D242" s="4"/>
      <c r="F242" s="96"/>
      <c r="H242" s="16"/>
      <c r="I242" s="16"/>
      <c r="J242" s="16"/>
      <c r="K242" s="85"/>
      <c r="L242" s="85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AA242" s="16"/>
      <c r="AB242" s="20"/>
      <c r="AD242" s="16"/>
      <c r="AE242" s="20"/>
    </row>
    <row r="243" spans="1:31" ht="18" hidden="1" customHeight="1" outlineLevel="1" collapsed="1" x14ac:dyDescent="0.2">
      <c r="A243" s="35"/>
      <c r="B243" s="35"/>
      <c r="C243" s="4"/>
      <c r="D243" s="4"/>
      <c r="F243" s="97" t="s">
        <v>249</v>
      </c>
      <c r="H243" s="74">
        <v>0.17111428571428572</v>
      </c>
      <c r="I243" s="74">
        <v>0.16614285714285715</v>
      </c>
      <c r="J243" s="74">
        <v>0.16614285714285715</v>
      </c>
      <c r="K243" s="112">
        <v>0.22857142857142856</v>
      </c>
      <c r="L243" s="112">
        <v>0.16</v>
      </c>
      <c r="M243" s="74">
        <v>0.29725714285714289</v>
      </c>
      <c r="N243" s="74">
        <v>3.7714285714285714E-2</v>
      </c>
      <c r="O243" s="74">
        <v>0.29931428571428575</v>
      </c>
      <c r="P243" s="74">
        <v>0.1127999999999999</v>
      </c>
      <c r="Q243" s="74">
        <v>0.11520000000000009</v>
      </c>
      <c r="R243" s="74">
        <v>0.35245714285714286</v>
      </c>
      <c r="S243" s="74">
        <v>0.2077714285714285</v>
      </c>
      <c r="T243" s="74">
        <v>0.10868571428571436</v>
      </c>
      <c r="U243" s="74">
        <v>0.12342857142857123</v>
      </c>
      <c r="V243" s="74">
        <v>0.10662857142857141</v>
      </c>
      <c r="W243" s="74">
        <v>0.13268571428571443</v>
      </c>
      <c r="X243" s="74">
        <v>0.15222857142857141</v>
      </c>
      <c r="Y243" s="74">
        <v>0.1705142857142857</v>
      </c>
      <c r="AA243" s="74">
        <v>0.22857142857142856</v>
      </c>
      <c r="AB243" s="73">
        <v>-0.06</v>
      </c>
      <c r="AD243" s="74">
        <v>0.16</v>
      </c>
      <c r="AE243" s="73">
        <v>0.01</v>
      </c>
    </row>
    <row r="244" spans="1:31" ht="18" hidden="1" customHeight="1" outlineLevel="1" x14ac:dyDescent="0.2">
      <c r="A244" s="30" t="s">
        <v>79</v>
      </c>
      <c r="B244" s="30" t="s">
        <v>22</v>
      </c>
      <c r="C244" s="4">
        <v>0.25374999999999998</v>
      </c>
      <c r="D244" s="4">
        <v>-6.6071428571428586E-2</v>
      </c>
      <c r="F244" s="106" t="s">
        <v>83</v>
      </c>
      <c r="H244" s="61">
        <v>-5.9889999999999999</v>
      </c>
      <c r="I244" s="61">
        <v>-5.8150000000000004</v>
      </c>
      <c r="J244" s="61">
        <v>-5.8150000000000004</v>
      </c>
      <c r="K244" s="86">
        <v>-8</v>
      </c>
      <c r="L244" s="86">
        <v>-5.6</v>
      </c>
      <c r="M244" s="61">
        <v>-0.86699999999999999</v>
      </c>
      <c r="N244" s="61">
        <v>-0.10999999999999999</v>
      </c>
      <c r="O244" s="61">
        <v>-0.87300000000000011</v>
      </c>
      <c r="P244" s="61">
        <v>-0.32899999999999974</v>
      </c>
      <c r="Q244" s="61">
        <v>-0.3360000000000003</v>
      </c>
      <c r="R244" s="61">
        <v>-1.028</v>
      </c>
      <c r="S244" s="61">
        <v>-0.60599999999999987</v>
      </c>
      <c r="T244" s="61">
        <v>-0.31700000000000017</v>
      </c>
      <c r="U244" s="61">
        <v>-0.35999999999999943</v>
      </c>
      <c r="V244" s="61">
        <v>-0.31099999999999994</v>
      </c>
      <c r="W244" s="61">
        <v>-0.38700000000000045</v>
      </c>
      <c r="X244" s="61">
        <v>-0.44399999999999995</v>
      </c>
      <c r="Y244" s="61">
        <v>-5.968</v>
      </c>
      <c r="AA244" s="61">
        <v>-8</v>
      </c>
      <c r="AB244" s="60">
        <v>2.0299999999999998</v>
      </c>
      <c r="AD244" s="61">
        <v>-5.5999999999999988</v>
      </c>
      <c r="AE244" s="60">
        <v>-0.37</v>
      </c>
    </row>
    <row r="245" spans="1:31" ht="18" hidden="1" customHeight="1" outlineLevel="1" x14ac:dyDescent="0.2">
      <c r="A245" s="30" t="s">
        <v>80</v>
      </c>
      <c r="B245" s="30" t="s">
        <v>22</v>
      </c>
      <c r="C245" s="4">
        <v>0</v>
      </c>
      <c r="D245" s="4">
        <v>0</v>
      </c>
      <c r="F245" s="106" t="s">
        <v>84</v>
      </c>
      <c r="H245" s="61">
        <v>-8.9999999999999993E-3</v>
      </c>
      <c r="I245" s="61">
        <v>0</v>
      </c>
      <c r="J245" s="61">
        <v>0</v>
      </c>
      <c r="K245" s="86">
        <v>0</v>
      </c>
      <c r="L245" s="86">
        <v>0</v>
      </c>
      <c r="M245" s="61">
        <v>0</v>
      </c>
      <c r="N245" s="61">
        <v>0</v>
      </c>
      <c r="O245" s="61">
        <v>0</v>
      </c>
      <c r="P245" s="61">
        <v>0</v>
      </c>
      <c r="Q245" s="61">
        <v>0</v>
      </c>
      <c r="R245" s="61">
        <v>0</v>
      </c>
      <c r="S245" s="61">
        <v>0</v>
      </c>
      <c r="T245" s="61">
        <v>0</v>
      </c>
      <c r="U245" s="61">
        <v>0</v>
      </c>
      <c r="V245" s="61">
        <v>0</v>
      </c>
      <c r="W245" s="61">
        <v>0</v>
      </c>
      <c r="X245" s="61">
        <v>0</v>
      </c>
      <c r="Y245" s="61">
        <v>0</v>
      </c>
      <c r="AA245" s="61">
        <v>0</v>
      </c>
      <c r="AB245" s="60">
        <v>0</v>
      </c>
      <c r="AD245" s="61">
        <v>0</v>
      </c>
      <c r="AE245" s="60">
        <v>0</v>
      </c>
    </row>
    <row r="246" spans="1:31" ht="18" hidden="1" customHeight="1" outlineLevel="1" x14ac:dyDescent="0.2">
      <c r="A246" s="30" t="s">
        <v>81</v>
      </c>
      <c r="B246" s="30" t="s">
        <v>22</v>
      </c>
      <c r="C246" s="4">
        <v>-0.7142857142857143</v>
      </c>
      <c r="D246" s="4">
        <v>-0.7142857142857143</v>
      </c>
      <c r="F246" s="106" t="s">
        <v>85</v>
      </c>
      <c r="H246" s="61">
        <v>0</v>
      </c>
      <c r="I246" s="61">
        <v>0</v>
      </c>
      <c r="J246" s="61">
        <v>0</v>
      </c>
      <c r="K246" s="86">
        <v>0</v>
      </c>
      <c r="L246" s="86">
        <v>0</v>
      </c>
      <c r="M246" s="61">
        <v>0</v>
      </c>
      <c r="N246" s="61">
        <v>0</v>
      </c>
      <c r="O246" s="61">
        <v>0</v>
      </c>
      <c r="P246" s="61">
        <v>0</v>
      </c>
      <c r="Q246" s="61">
        <v>-1.4E-2</v>
      </c>
      <c r="R246" s="61">
        <v>0</v>
      </c>
      <c r="S246" s="61">
        <v>0</v>
      </c>
      <c r="T246" s="61">
        <v>0</v>
      </c>
      <c r="U246" s="61">
        <v>0</v>
      </c>
      <c r="V246" s="61">
        <v>0</v>
      </c>
      <c r="W246" s="61">
        <v>0</v>
      </c>
      <c r="X246" s="61">
        <v>0</v>
      </c>
      <c r="Y246" s="61">
        <v>-1.4E-2</v>
      </c>
      <c r="AA246" s="61">
        <v>0</v>
      </c>
      <c r="AB246" s="60">
        <v>-0.01</v>
      </c>
      <c r="AD246" s="61">
        <v>0</v>
      </c>
      <c r="AE246" s="60">
        <v>-0.01</v>
      </c>
    </row>
    <row r="247" spans="1:31" ht="18" hidden="1" customHeight="1" outlineLevel="1" x14ac:dyDescent="0.2">
      <c r="A247" s="30" t="s">
        <v>140</v>
      </c>
      <c r="B247" s="30" t="s">
        <v>22</v>
      </c>
      <c r="C247" s="4">
        <v>0</v>
      </c>
      <c r="D247" s="4">
        <v>0</v>
      </c>
      <c r="F247" s="106" t="s">
        <v>141</v>
      </c>
      <c r="H247" s="61">
        <v>0</v>
      </c>
      <c r="I247" s="61">
        <v>0</v>
      </c>
      <c r="J247" s="61">
        <v>0</v>
      </c>
      <c r="K247" s="86">
        <v>0</v>
      </c>
      <c r="L247" s="86">
        <v>0</v>
      </c>
      <c r="M247" s="61">
        <v>0</v>
      </c>
      <c r="N247" s="61">
        <v>0</v>
      </c>
      <c r="O247" s="61">
        <v>0</v>
      </c>
      <c r="P247" s="61">
        <v>0</v>
      </c>
      <c r="Q247" s="61">
        <v>0</v>
      </c>
      <c r="R247" s="61">
        <v>0</v>
      </c>
      <c r="S247" s="61">
        <v>0</v>
      </c>
      <c r="T247" s="61">
        <v>0</v>
      </c>
      <c r="U247" s="61">
        <v>0</v>
      </c>
      <c r="V247" s="61">
        <v>0</v>
      </c>
      <c r="W247" s="61">
        <v>0</v>
      </c>
      <c r="X247" s="61">
        <v>0</v>
      </c>
      <c r="Y247" s="61">
        <v>0</v>
      </c>
      <c r="AA247" s="61">
        <v>0</v>
      </c>
      <c r="AB247" s="60">
        <v>0</v>
      </c>
      <c r="AD247" s="61">
        <v>0</v>
      </c>
      <c r="AE247" s="60">
        <v>0</v>
      </c>
    </row>
    <row r="248" spans="1:31" ht="18" hidden="1" customHeight="1" outlineLevel="1" x14ac:dyDescent="0.2">
      <c r="A248" s="30" t="s">
        <v>123</v>
      </c>
      <c r="B248" s="30" t="s">
        <v>22</v>
      </c>
      <c r="C248" s="4">
        <v>0</v>
      </c>
      <c r="D248" s="4">
        <v>0</v>
      </c>
      <c r="F248" s="106" t="s">
        <v>142</v>
      </c>
      <c r="H248" s="61">
        <v>0</v>
      </c>
      <c r="I248" s="61">
        <v>0</v>
      </c>
      <c r="J248" s="61">
        <v>0</v>
      </c>
      <c r="K248" s="86">
        <v>0</v>
      </c>
      <c r="L248" s="86">
        <v>0</v>
      </c>
      <c r="M248" s="61">
        <v>0</v>
      </c>
      <c r="N248" s="61">
        <v>0</v>
      </c>
      <c r="O248" s="61">
        <v>0</v>
      </c>
      <c r="P248" s="61">
        <v>0</v>
      </c>
      <c r="Q248" s="61">
        <v>0</v>
      </c>
      <c r="R248" s="61">
        <v>0</v>
      </c>
      <c r="S248" s="61">
        <v>0</v>
      </c>
      <c r="T248" s="61">
        <v>0</v>
      </c>
      <c r="U248" s="61">
        <v>0</v>
      </c>
      <c r="V248" s="61">
        <v>0</v>
      </c>
      <c r="W248" s="61">
        <v>0</v>
      </c>
      <c r="X248" s="61">
        <v>0</v>
      </c>
      <c r="Y248" s="61">
        <v>0</v>
      </c>
      <c r="AA248" s="61">
        <v>0</v>
      </c>
      <c r="AB248" s="60">
        <v>0</v>
      </c>
      <c r="AD248" s="61">
        <v>0</v>
      </c>
      <c r="AE248" s="60">
        <v>0</v>
      </c>
    </row>
    <row r="249" spans="1:31" ht="18" hidden="1" customHeight="1" outlineLevel="1" x14ac:dyDescent="0.2">
      <c r="A249" s="30" t="s">
        <v>124</v>
      </c>
      <c r="B249" s="30" t="s">
        <v>22</v>
      </c>
      <c r="C249" s="4">
        <v>0</v>
      </c>
      <c r="D249" s="4">
        <v>0</v>
      </c>
      <c r="F249" s="106" t="s">
        <v>143</v>
      </c>
      <c r="H249" s="61">
        <v>0</v>
      </c>
      <c r="I249" s="61">
        <v>0</v>
      </c>
      <c r="J249" s="61">
        <v>0</v>
      </c>
      <c r="K249" s="86">
        <v>0</v>
      </c>
      <c r="L249" s="86">
        <v>0</v>
      </c>
      <c r="M249" s="61">
        <v>0</v>
      </c>
      <c r="N249" s="61">
        <v>0</v>
      </c>
      <c r="O249" s="61">
        <v>0</v>
      </c>
      <c r="P249" s="61">
        <v>0</v>
      </c>
      <c r="Q249" s="61">
        <v>0</v>
      </c>
      <c r="R249" s="61">
        <v>0</v>
      </c>
      <c r="S249" s="61">
        <v>0</v>
      </c>
      <c r="T249" s="61">
        <v>0</v>
      </c>
      <c r="U249" s="61">
        <v>0</v>
      </c>
      <c r="V249" s="61">
        <v>0</v>
      </c>
      <c r="W249" s="61">
        <v>0</v>
      </c>
      <c r="X249" s="61">
        <v>0</v>
      </c>
      <c r="Y249" s="61">
        <v>0</v>
      </c>
      <c r="AA249" s="61">
        <v>0</v>
      </c>
      <c r="AB249" s="60">
        <v>0</v>
      </c>
      <c r="AD249" s="61">
        <v>0</v>
      </c>
      <c r="AE249" s="60">
        <v>0</v>
      </c>
    </row>
    <row r="250" spans="1:31" ht="18" hidden="1" customHeight="1" outlineLevel="1" x14ac:dyDescent="0.2">
      <c r="A250" s="30" t="s">
        <v>204</v>
      </c>
      <c r="B250" s="30" t="s">
        <v>22</v>
      </c>
      <c r="C250" s="4">
        <v>0</v>
      </c>
      <c r="D250" s="4">
        <v>0</v>
      </c>
      <c r="F250" s="104" t="s">
        <v>139</v>
      </c>
      <c r="G250" s="36"/>
      <c r="H250" s="65">
        <v>0</v>
      </c>
      <c r="I250" s="65">
        <v>0</v>
      </c>
      <c r="J250" s="65">
        <v>0</v>
      </c>
      <c r="K250" s="90">
        <v>0</v>
      </c>
      <c r="L250" s="90">
        <v>0</v>
      </c>
      <c r="M250" s="65">
        <v>0</v>
      </c>
      <c r="N250" s="65">
        <v>0</v>
      </c>
      <c r="O250" s="65">
        <v>0</v>
      </c>
      <c r="P250" s="65">
        <v>0</v>
      </c>
      <c r="Q250" s="65">
        <v>0</v>
      </c>
      <c r="R250" s="65">
        <v>0</v>
      </c>
      <c r="S250" s="65">
        <v>0</v>
      </c>
      <c r="T250" s="65">
        <v>0</v>
      </c>
      <c r="U250" s="65">
        <v>0</v>
      </c>
      <c r="V250" s="65">
        <v>0</v>
      </c>
      <c r="W250" s="65">
        <v>0</v>
      </c>
      <c r="X250" s="65">
        <v>0</v>
      </c>
      <c r="Y250" s="65">
        <v>0</v>
      </c>
      <c r="Z250" s="36"/>
      <c r="AA250" s="65">
        <v>0</v>
      </c>
      <c r="AB250" s="60">
        <v>0</v>
      </c>
      <c r="AC250" s="36"/>
      <c r="AD250" s="65">
        <v>0</v>
      </c>
      <c r="AE250" s="60">
        <v>0</v>
      </c>
    </row>
    <row r="251" spans="1:31" ht="18" hidden="1" customHeight="1" outlineLevel="1" x14ac:dyDescent="0.2">
      <c r="A251" s="30" t="s">
        <v>82</v>
      </c>
      <c r="B251" s="30" t="s">
        <v>22</v>
      </c>
      <c r="C251" s="4">
        <v>0</v>
      </c>
      <c r="D251" s="4">
        <v>0</v>
      </c>
      <c r="F251" s="106" t="s">
        <v>86</v>
      </c>
      <c r="H251" s="61">
        <v>0</v>
      </c>
      <c r="I251" s="61">
        <v>-8.0000000000000002E-3</v>
      </c>
      <c r="J251" s="61">
        <v>-8.0000000000000002E-3</v>
      </c>
      <c r="K251" s="86">
        <v>0</v>
      </c>
      <c r="L251" s="86">
        <v>0</v>
      </c>
      <c r="M251" s="61">
        <v>0</v>
      </c>
      <c r="N251" s="61">
        <v>0</v>
      </c>
      <c r="O251" s="61">
        <v>0</v>
      </c>
      <c r="P251" s="61">
        <v>0</v>
      </c>
      <c r="Q251" s="61">
        <v>0</v>
      </c>
      <c r="R251" s="61">
        <v>0</v>
      </c>
      <c r="S251" s="61">
        <v>0</v>
      </c>
      <c r="T251" s="61">
        <v>0</v>
      </c>
      <c r="U251" s="61">
        <v>0</v>
      </c>
      <c r="V251" s="61">
        <v>0</v>
      </c>
      <c r="W251" s="61">
        <v>0</v>
      </c>
      <c r="X251" s="61">
        <v>0</v>
      </c>
      <c r="Y251" s="61">
        <v>0</v>
      </c>
      <c r="AA251" s="61">
        <v>0</v>
      </c>
      <c r="AB251" s="60">
        <v>0</v>
      </c>
      <c r="AD251" s="61">
        <v>0</v>
      </c>
      <c r="AE251" s="60">
        <v>0</v>
      </c>
    </row>
    <row r="252" spans="1:31" ht="18" hidden="1" customHeight="1" outlineLevel="1" x14ac:dyDescent="0.2">
      <c r="A252" s="30" t="s">
        <v>144</v>
      </c>
      <c r="B252" s="30" t="s">
        <v>22</v>
      </c>
      <c r="C252" s="4">
        <v>0</v>
      </c>
      <c r="D252" s="4">
        <v>0</v>
      </c>
      <c r="F252" s="106" t="s">
        <v>145</v>
      </c>
      <c r="H252" s="61">
        <v>0</v>
      </c>
      <c r="I252" s="61">
        <v>0</v>
      </c>
      <c r="J252" s="61">
        <v>0</v>
      </c>
      <c r="K252" s="86">
        <v>0</v>
      </c>
      <c r="L252" s="86">
        <v>0</v>
      </c>
      <c r="M252" s="61">
        <v>0</v>
      </c>
      <c r="N252" s="61">
        <v>0</v>
      </c>
      <c r="O252" s="61">
        <v>0</v>
      </c>
      <c r="P252" s="61">
        <v>0</v>
      </c>
      <c r="Q252" s="61">
        <v>0</v>
      </c>
      <c r="R252" s="61">
        <v>0</v>
      </c>
      <c r="S252" s="61">
        <v>0</v>
      </c>
      <c r="T252" s="61">
        <v>0</v>
      </c>
      <c r="U252" s="61">
        <v>0</v>
      </c>
      <c r="V252" s="61">
        <v>0</v>
      </c>
      <c r="W252" s="61">
        <v>0</v>
      </c>
      <c r="X252" s="61">
        <v>0</v>
      </c>
      <c r="Y252" s="61">
        <v>0</v>
      </c>
      <c r="AA252" s="61">
        <v>0</v>
      </c>
      <c r="AB252" s="60">
        <v>0</v>
      </c>
      <c r="AD252" s="61">
        <v>0</v>
      </c>
      <c r="AE252" s="60">
        <v>0</v>
      </c>
    </row>
    <row r="253" spans="1:31" ht="18" customHeight="1" collapsed="1" x14ac:dyDescent="0.2">
      <c r="A253" s="35"/>
      <c r="B253" s="35"/>
      <c r="C253" s="4">
        <v>0.2525</v>
      </c>
      <c r="D253" s="4">
        <v>-6.785714285714288E-2</v>
      </c>
      <c r="F253" s="95" t="s">
        <v>276</v>
      </c>
      <c r="H253" s="64">
        <v>-5.9980000000000002</v>
      </c>
      <c r="I253" s="64">
        <v>-5.8230000000000004</v>
      </c>
      <c r="J253" s="64">
        <v>-5.8230000000000004</v>
      </c>
      <c r="K253" s="89">
        <v>-8</v>
      </c>
      <c r="L253" s="89">
        <v>-5.6</v>
      </c>
      <c r="M253" s="64">
        <v>-0.86699999999999999</v>
      </c>
      <c r="N253" s="64">
        <v>-0.10999999999999999</v>
      </c>
      <c r="O253" s="64">
        <v>-0.87300000000000011</v>
      </c>
      <c r="P253" s="64">
        <v>-0.32899999999999974</v>
      </c>
      <c r="Q253" s="64">
        <v>-0.35000000000000031</v>
      </c>
      <c r="R253" s="64">
        <v>-1.028</v>
      </c>
      <c r="S253" s="64">
        <v>-0.60599999999999987</v>
      </c>
      <c r="T253" s="64">
        <v>-0.31700000000000017</v>
      </c>
      <c r="U253" s="64">
        <v>-0.35999999999999943</v>
      </c>
      <c r="V253" s="64">
        <v>-0.31099999999999994</v>
      </c>
      <c r="W253" s="64">
        <v>-0.38700000000000045</v>
      </c>
      <c r="X253" s="64">
        <v>-0.44399999999999995</v>
      </c>
      <c r="Y253" s="64">
        <v>-5.9820000000000002</v>
      </c>
      <c r="AA253" s="64">
        <v>-8</v>
      </c>
      <c r="AB253" s="60">
        <v>2.02</v>
      </c>
      <c r="AD253" s="64">
        <v>-5.5999999999999988</v>
      </c>
      <c r="AE253" s="60">
        <v>-0.38</v>
      </c>
    </row>
    <row r="254" spans="1:31" ht="12.95" customHeight="1" x14ac:dyDescent="0.2">
      <c r="A254" s="35"/>
      <c r="B254" s="35"/>
      <c r="C254" s="4"/>
      <c r="D254" s="4"/>
      <c r="F254" s="39" t="s">
        <v>223</v>
      </c>
      <c r="H254" s="56">
        <v>8.861816533507949E-4</v>
      </c>
      <c r="I254" s="56">
        <v>8.5278472362774593E-4</v>
      </c>
      <c r="J254" s="56">
        <v>8.5278472362774593E-4</v>
      </c>
      <c r="K254" s="109">
        <v>1.2490197146833039E-3</v>
      </c>
      <c r="L254" s="109">
        <v>8.7658895444695916E-4</v>
      </c>
      <c r="M254" s="56">
        <v>1.6608749956897708E-3</v>
      </c>
      <c r="N254" s="56">
        <v>1.915161813762701E-4</v>
      </c>
      <c r="O254" s="56">
        <v>1.6549668911835574E-3</v>
      </c>
      <c r="P254" s="56">
        <v>5.1966513978834279E-4</v>
      </c>
      <c r="Q254" s="56">
        <v>6.5037628913871648E-4</v>
      </c>
      <c r="R254" s="56">
        <v>1.8366030704144334E-3</v>
      </c>
      <c r="S254" s="56">
        <v>1.1831708588531827E-3</v>
      </c>
      <c r="T254" s="56">
        <v>5.9912380505985636E-4</v>
      </c>
      <c r="U254" s="56">
        <v>6.5945902378082436E-4</v>
      </c>
      <c r="V254" s="56">
        <v>6.1549300792026595E-4</v>
      </c>
      <c r="W254" s="56">
        <v>6.6409038493218529E-4</v>
      </c>
      <c r="X254" s="56">
        <v>7.583223313971058E-4</v>
      </c>
      <c r="Y254" s="56">
        <v>9.0422746747381027E-4</v>
      </c>
      <c r="AA254" s="56">
        <v>1.2490197146833039E-3</v>
      </c>
      <c r="AB254" s="57"/>
      <c r="AD254" s="56">
        <v>8.7658895444695905E-4</v>
      </c>
      <c r="AE254" s="57"/>
    </row>
    <row r="255" spans="1:31" ht="6.95" customHeight="1" x14ac:dyDescent="0.2">
      <c r="C255" s="4"/>
      <c r="D255" s="4"/>
      <c r="F255" s="96"/>
      <c r="H255" s="53"/>
      <c r="I255" s="53"/>
      <c r="J255" s="53"/>
      <c r="K255" s="115"/>
      <c r="L255" s="115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AA255" s="53"/>
      <c r="AD255" s="53"/>
    </row>
    <row r="256" spans="1:31" ht="18" customHeight="1" x14ac:dyDescent="0.2">
      <c r="A256" s="30" t="s">
        <v>73</v>
      </c>
      <c r="B256" s="30" t="s">
        <v>22</v>
      </c>
      <c r="C256" s="4">
        <v>0.14733333333333334</v>
      </c>
      <c r="D256" s="4">
        <v>0.14733333333333334</v>
      </c>
      <c r="F256" s="106" t="s">
        <v>72</v>
      </c>
      <c r="H256" s="61">
        <v>-10.49</v>
      </c>
      <c r="I256" s="61">
        <v>-14.173</v>
      </c>
      <c r="J256" s="61">
        <v>-14.173</v>
      </c>
      <c r="K256" s="86">
        <v>-15</v>
      </c>
      <c r="L256" s="86">
        <v>-15</v>
      </c>
      <c r="M256" s="61">
        <v>-2.0070000000000001</v>
      </c>
      <c r="N256" s="61">
        <v>-2.9439999999999995</v>
      </c>
      <c r="O256" s="61">
        <v>-1.9980000000000002</v>
      </c>
      <c r="P256" s="61">
        <v>-0.50600000000000023</v>
      </c>
      <c r="Q256" s="61">
        <v>-2.0470000000000006</v>
      </c>
      <c r="R256" s="61">
        <v>-1.0109999999999992</v>
      </c>
      <c r="S256" s="61">
        <v>0.41300000000000026</v>
      </c>
      <c r="T256" s="61">
        <v>-0.24500000000000099</v>
      </c>
      <c r="U256" s="61">
        <v>-0.34499999999999886</v>
      </c>
      <c r="V256" s="61">
        <v>-0.3879999999999999</v>
      </c>
      <c r="W256" s="61">
        <v>-0.54400000000000048</v>
      </c>
      <c r="X256" s="61">
        <v>-1.1660000000000004</v>
      </c>
      <c r="Y256" s="61">
        <v>-12.788</v>
      </c>
      <c r="AA256" s="61">
        <v>-15</v>
      </c>
      <c r="AB256" s="60">
        <v>2.21</v>
      </c>
      <c r="AD256" s="61">
        <v>-15</v>
      </c>
      <c r="AE256" s="60">
        <v>2.21</v>
      </c>
    </row>
    <row r="257" spans="1:31" ht="18" customHeight="1" x14ac:dyDescent="0.2">
      <c r="A257" s="30" t="s">
        <v>129</v>
      </c>
      <c r="B257" s="30" t="s">
        <v>22</v>
      </c>
      <c r="C257" s="4">
        <v>-0.72399999999999998</v>
      </c>
      <c r="D257" s="4">
        <v>4.2222222222222223E-2</v>
      </c>
      <c r="F257" s="106" t="s">
        <v>190</v>
      </c>
      <c r="H257" s="61">
        <v>-6.8520000000000003</v>
      </c>
      <c r="I257" s="61">
        <v>-5.57</v>
      </c>
      <c r="J257" s="61">
        <v>-5.57</v>
      </c>
      <c r="K257" s="86">
        <v>-5</v>
      </c>
      <c r="L257" s="86">
        <v>-9</v>
      </c>
      <c r="M257" s="61">
        <v>-2.1440000000000001</v>
      </c>
      <c r="N257" s="61">
        <v>-0.69899999999999984</v>
      </c>
      <c r="O257" s="61">
        <v>-0.61699999999999999</v>
      </c>
      <c r="P257" s="61">
        <v>-0.28900000000000015</v>
      </c>
      <c r="Q257" s="61">
        <v>-0.38799999999999946</v>
      </c>
      <c r="R257" s="61">
        <v>-0.7240000000000002</v>
      </c>
      <c r="S257" s="61">
        <v>-0.54999999999999982</v>
      </c>
      <c r="T257" s="61">
        <v>-0.69700000000000006</v>
      </c>
      <c r="U257" s="61">
        <v>-0.20800000000000018</v>
      </c>
      <c r="V257" s="61">
        <v>-0.70300000000000029</v>
      </c>
      <c r="W257" s="61">
        <v>-1.1649999999999991</v>
      </c>
      <c r="X257" s="61">
        <v>-0.44000000000000128</v>
      </c>
      <c r="Y257" s="61">
        <v>-8.6240000000000006</v>
      </c>
      <c r="AA257" s="61">
        <v>-5</v>
      </c>
      <c r="AB257" s="60">
        <v>-3.62</v>
      </c>
      <c r="AD257" s="61">
        <v>-9</v>
      </c>
      <c r="AE257" s="60">
        <v>0.38</v>
      </c>
    </row>
    <row r="258" spans="1:31" ht="18" customHeight="1" x14ac:dyDescent="0.2">
      <c r="A258" s="30" t="s">
        <v>78</v>
      </c>
      <c r="B258" s="30" t="s">
        <v>22</v>
      </c>
      <c r="C258" s="4">
        <v>0.746</v>
      </c>
      <c r="D258" s="4">
        <v>0.36499999999999999</v>
      </c>
      <c r="F258" s="106" t="s">
        <v>77</v>
      </c>
      <c r="H258" s="61">
        <v>-7.5490000000000004</v>
      </c>
      <c r="I258" s="61">
        <v>-1.9750000000000001</v>
      </c>
      <c r="J258" s="61">
        <v>-1.9750000000000001</v>
      </c>
      <c r="K258" s="86">
        <v>-5</v>
      </c>
      <c r="L258" s="86">
        <v>-2</v>
      </c>
      <c r="M258" s="61">
        <v>-5.3999999999999999E-2</v>
      </c>
      <c r="N258" s="61">
        <v>-5.9000000000000004E-2</v>
      </c>
      <c r="O258" s="61">
        <v>-0.27100000000000002</v>
      </c>
      <c r="P258" s="61">
        <v>-0.27800000000000002</v>
      </c>
      <c r="Q258" s="61">
        <v>-6.9999999999999951E-2</v>
      </c>
      <c r="R258" s="61">
        <v>-4.1000000000000036E-2</v>
      </c>
      <c r="S258" s="61">
        <v>3.2000000000000028E-2</v>
      </c>
      <c r="T258" s="61">
        <v>-3.0000000000000027E-2</v>
      </c>
      <c r="U258" s="61">
        <v>-1.5000000000000013E-2</v>
      </c>
      <c r="V258" s="61">
        <v>-1.2000000000000011E-2</v>
      </c>
      <c r="W258" s="61">
        <v>-0.29400000000000004</v>
      </c>
      <c r="X258" s="61">
        <v>-0.18299999999999983</v>
      </c>
      <c r="Y258" s="61">
        <v>-1.2749999999999999</v>
      </c>
      <c r="AA258" s="61">
        <v>-5</v>
      </c>
      <c r="AB258" s="60">
        <v>3.73</v>
      </c>
      <c r="AD258" s="61">
        <v>-2</v>
      </c>
      <c r="AE258" s="60">
        <v>0.73</v>
      </c>
    </row>
    <row r="259" spans="1:31" ht="18" customHeight="1" x14ac:dyDescent="0.2">
      <c r="A259" s="30" t="s">
        <v>75</v>
      </c>
      <c r="B259" s="30" t="s">
        <v>22</v>
      </c>
      <c r="C259" s="4">
        <v>-5.7272727272727274E-2</v>
      </c>
      <c r="D259" s="4">
        <v>-5.7272727272727274E-2</v>
      </c>
      <c r="F259" s="106" t="s">
        <v>76</v>
      </c>
      <c r="H259" s="61">
        <v>-12.725</v>
      </c>
      <c r="I259" s="61">
        <v>-11.409000000000001</v>
      </c>
      <c r="J259" s="61">
        <v>-11.409000000000001</v>
      </c>
      <c r="K259" s="86">
        <v>-11</v>
      </c>
      <c r="L259" s="86">
        <v>-11</v>
      </c>
      <c r="M259" s="61">
        <v>-0.54500000000000004</v>
      </c>
      <c r="N259" s="61">
        <v>-0.43499999999999994</v>
      </c>
      <c r="O259" s="61">
        <v>-2.286</v>
      </c>
      <c r="P259" s="61">
        <v>-0.84499999999999975</v>
      </c>
      <c r="Q259" s="61">
        <v>-1.0100000000000007</v>
      </c>
      <c r="R259" s="61">
        <v>0.81300000000000061</v>
      </c>
      <c r="S259" s="61">
        <v>-0.55700000000000038</v>
      </c>
      <c r="T259" s="61">
        <v>-2.577</v>
      </c>
      <c r="U259" s="61">
        <v>-1.0199999999999996</v>
      </c>
      <c r="V259" s="61">
        <v>-0.72700000000000031</v>
      </c>
      <c r="W259" s="61">
        <v>-1.0839999999999996</v>
      </c>
      <c r="X259" s="61">
        <v>-1.3580000000000005</v>
      </c>
      <c r="Y259" s="61">
        <v>-11.631</v>
      </c>
      <c r="AA259" s="61">
        <v>-11</v>
      </c>
      <c r="AB259" s="60">
        <v>-0.63</v>
      </c>
      <c r="AD259" s="61">
        <v>-11</v>
      </c>
      <c r="AE259" s="60">
        <v>-0.63</v>
      </c>
    </row>
    <row r="260" spans="1:31" ht="18" customHeight="1" x14ac:dyDescent="0.2">
      <c r="A260" s="30" t="s">
        <v>181</v>
      </c>
      <c r="B260" s="30" t="s">
        <v>22</v>
      </c>
      <c r="C260" s="4">
        <v>1.2533333333333332E-2</v>
      </c>
      <c r="D260" s="4">
        <v>-1.452054794520548E-2</v>
      </c>
      <c r="F260" s="106" t="s">
        <v>182</v>
      </c>
      <c r="H260" s="61">
        <v>-84.882000000000005</v>
      </c>
      <c r="I260" s="61">
        <v>-82.67</v>
      </c>
      <c r="J260" s="61">
        <v>-82.67</v>
      </c>
      <c r="K260" s="86">
        <v>-75</v>
      </c>
      <c r="L260" s="86">
        <v>-73</v>
      </c>
      <c r="M260" s="61">
        <v>-4.3540000000000001</v>
      </c>
      <c r="N260" s="61">
        <v>-8.8129999999999988</v>
      </c>
      <c r="O260" s="61">
        <v>-9.2810000000000024</v>
      </c>
      <c r="P260" s="61">
        <v>-7.2979999999999983</v>
      </c>
      <c r="Q260" s="61">
        <v>-7.3919999999999995</v>
      </c>
      <c r="R260" s="61">
        <v>0.5519999999999996</v>
      </c>
      <c r="S260" s="61">
        <v>-6.0040000000000049</v>
      </c>
      <c r="T260" s="61">
        <v>-6.0030000000000001</v>
      </c>
      <c r="U260" s="61">
        <v>-6.002999999999993</v>
      </c>
      <c r="V260" s="61">
        <v>-5.652000000000001</v>
      </c>
      <c r="W260" s="61">
        <v>-5.9720000000000013</v>
      </c>
      <c r="X260" s="61">
        <v>-7.8370000000000033</v>
      </c>
      <c r="Y260" s="61">
        <v>-74.057000000000002</v>
      </c>
      <c r="AA260" s="61">
        <v>-75</v>
      </c>
      <c r="AB260" s="60">
        <v>0.94</v>
      </c>
      <c r="AD260" s="61">
        <v>-73</v>
      </c>
      <c r="AE260" s="60">
        <v>-1.06</v>
      </c>
    </row>
    <row r="261" spans="1:31" ht="18" customHeight="1" x14ac:dyDescent="0.2">
      <c r="A261" s="30" t="s">
        <v>90</v>
      </c>
      <c r="B261" s="30" t="s">
        <v>22</v>
      </c>
      <c r="C261" s="4">
        <v>0.27944444444444444</v>
      </c>
      <c r="D261" s="4">
        <v>-8.0833333333333326E-2</v>
      </c>
      <c r="F261" s="106" t="s">
        <v>95</v>
      </c>
      <c r="H261" s="61">
        <v>-23.015000000000001</v>
      </c>
      <c r="I261" s="61">
        <v>-15.907</v>
      </c>
      <c r="J261" s="61">
        <v>-15.907</v>
      </c>
      <c r="K261" s="86">
        <v>-18</v>
      </c>
      <c r="L261" s="86">
        <v>-12</v>
      </c>
      <c r="M261" s="61">
        <v>-1.39</v>
      </c>
      <c r="N261" s="61">
        <v>-0.98400000000000021</v>
      </c>
      <c r="O261" s="61">
        <v>-1.3249999999999997</v>
      </c>
      <c r="P261" s="61">
        <v>-0.94599999999999973</v>
      </c>
      <c r="Q261" s="61">
        <v>-1.0520000000000005</v>
      </c>
      <c r="R261" s="61">
        <v>-0.58899999999999952</v>
      </c>
      <c r="S261" s="61">
        <v>-1.4000000000000004</v>
      </c>
      <c r="T261" s="61">
        <v>-1.0500000000000007</v>
      </c>
      <c r="U261" s="61">
        <v>-1.0409999999999986</v>
      </c>
      <c r="V261" s="61">
        <v>-0.37100000000000044</v>
      </c>
      <c r="W261" s="61">
        <v>-1.7710000000000008</v>
      </c>
      <c r="X261" s="61">
        <v>-1.0499999999999989</v>
      </c>
      <c r="Y261" s="61">
        <v>-12.968999999999999</v>
      </c>
      <c r="AA261" s="61">
        <v>-18</v>
      </c>
      <c r="AB261" s="60">
        <v>5.03</v>
      </c>
      <c r="AD261" s="61">
        <v>-12</v>
      </c>
      <c r="AE261" s="60">
        <v>-0.97</v>
      </c>
    </row>
    <row r="262" spans="1:31" ht="18" customHeight="1" x14ac:dyDescent="0.2">
      <c r="A262" s="30" t="s">
        <v>91</v>
      </c>
      <c r="B262" s="30" t="s">
        <v>22</v>
      </c>
      <c r="C262" s="4">
        <v>-1.2727272727272728E-2</v>
      </c>
      <c r="D262" s="4">
        <v>-1.2727272727272728E-2</v>
      </c>
      <c r="F262" s="106" t="s">
        <v>96</v>
      </c>
      <c r="H262" s="61">
        <v>-2.3119999999999998</v>
      </c>
      <c r="I262" s="61">
        <v>-5.6980000000000004</v>
      </c>
      <c r="J262" s="61">
        <v>-5.6980000000000004</v>
      </c>
      <c r="K262" s="86">
        <v>-5.5</v>
      </c>
      <c r="L262" s="86">
        <v>-5.5</v>
      </c>
      <c r="M262" s="61">
        <v>-1.2</v>
      </c>
      <c r="N262" s="61">
        <v>-0.17500000000000004</v>
      </c>
      <c r="O262" s="61">
        <v>-0.16500000000000004</v>
      </c>
      <c r="P262" s="61">
        <v>-5.8000000000000052E-2</v>
      </c>
      <c r="Q262" s="61">
        <v>-0.31099999999999994</v>
      </c>
      <c r="R262" s="61">
        <v>-0.13299999999999979</v>
      </c>
      <c r="S262" s="61">
        <v>-0.37000000000000011</v>
      </c>
      <c r="T262" s="61">
        <v>-0.61100000000000021</v>
      </c>
      <c r="U262" s="61">
        <v>-0.34799999999999986</v>
      </c>
      <c r="V262" s="61">
        <v>-0.17700000000000005</v>
      </c>
      <c r="W262" s="61">
        <v>-0.47999999999999954</v>
      </c>
      <c r="X262" s="61">
        <v>-1.5410000000000004</v>
      </c>
      <c r="Y262" s="61">
        <v>-5.569</v>
      </c>
      <c r="AA262" s="61">
        <v>-5.5</v>
      </c>
      <c r="AB262" s="60">
        <v>-7.0000000000000007E-2</v>
      </c>
      <c r="AD262" s="61">
        <v>-5.5</v>
      </c>
      <c r="AE262" s="60">
        <v>-7.0000000000000007E-2</v>
      </c>
    </row>
    <row r="263" spans="1:31" ht="18" customHeight="1" x14ac:dyDescent="0.2">
      <c r="A263" s="30" t="s">
        <v>74</v>
      </c>
      <c r="B263" s="30" t="s">
        <v>22</v>
      </c>
      <c r="C263" s="4">
        <v>1.0964705882352941</v>
      </c>
      <c r="D263" s="4">
        <v>1.2342857142857144</v>
      </c>
      <c r="F263" s="106" t="s">
        <v>97</v>
      </c>
      <c r="H263" s="61">
        <v>-18.390999999999998</v>
      </c>
      <c r="I263" s="61">
        <v>-16.884</v>
      </c>
      <c r="J263" s="61">
        <v>-16.884</v>
      </c>
      <c r="K263" s="86">
        <v>-17</v>
      </c>
      <c r="L263" s="86">
        <v>-7</v>
      </c>
      <c r="M263" s="61">
        <v>-1.7330000000000001</v>
      </c>
      <c r="N263" s="61">
        <v>-1.2599999999999998</v>
      </c>
      <c r="O263" s="61">
        <v>12.794</v>
      </c>
      <c r="P263" s="61">
        <v>-0.67300000000000004</v>
      </c>
      <c r="Q263" s="61">
        <v>-0.85299999999999976</v>
      </c>
      <c r="R263" s="61">
        <v>-0.5550000000000006</v>
      </c>
      <c r="S263" s="61">
        <v>-0.73799999999999955</v>
      </c>
      <c r="T263" s="61">
        <v>-0.53300000000000036</v>
      </c>
      <c r="U263" s="61">
        <v>-0.70399999999999974</v>
      </c>
      <c r="V263" s="61">
        <v>-0.61800000000000033</v>
      </c>
      <c r="W263" s="61">
        <v>-2.3729999999999998</v>
      </c>
      <c r="X263" s="61">
        <v>-1.117</v>
      </c>
      <c r="Y263" s="61">
        <v>1.637</v>
      </c>
      <c r="AA263" s="61">
        <v>-17</v>
      </c>
      <c r="AB263" s="60">
        <v>18.64</v>
      </c>
      <c r="AD263" s="61">
        <v>-7</v>
      </c>
      <c r="AE263" s="60">
        <v>8.64</v>
      </c>
    </row>
    <row r="264" spans="1:31" s="253" customFormat="1" ht="18" customHeight="1" x14ac:dyDescent="0.2">
      <c r="A264" s="271" t="s">
        <v>447</v>
      </c>
      <c r="B264" s="254" t="s">
        <v>22</v>
      </c>
      <c r="C264" s="252">
        <v>0</v>
      </c>
      <c r="D264" s="252">
        <v>0</v>
      </c>
      <c r="F264" s="262" t="s">
        <v>446</v>
      </c>
      <c r="H264" s="257">
        <v>0</v>
      </c>
      <c r="I264" s="257">
        <v>0</v>
      </c>
      <c r="J264" s="257">
        <v>0</v>
      </c>
      <c r="K264" s="258">
        <v>0</v>
      </c>
      <c r="L264" s="258">
        <v>0</v>
      </c>
      <c r="M264" s="257">
        <v>0</v>
      </c>
      <c r="N264" s="257">
        <v>0</v>
      </c>
      <c r="O264" s="257">
        <v>0</v>
      </c>
      <c r="P264" s="257">
        <v>0</v>
      </c>
      <c r="Q264" s="257">
        <v>0</v>
      </c>
      <c r="R264" s="257">
        <v>0</v>
      </c>
      <c r="S264" s="257">
        <v>0</v>
      </c>
      <c r="T264" s="257">
        <v>0</v>
      </c>
      <c r="U264" s="257">
        <v>0</v>
      </c>
      <c r="V264" s="257">
        <v>0</v>
      </c>
      <c r="W264" s="257">
        <v>0</v>
      </c>
      <c r="X264" s="257">
        <v>0</v>
      </c>
      <c r="Y264" s="257">
        <v>0</v>
      </c>
      <c r="AA264" s="257">
        <v>0</v>
      </c>
      <c r="AB264" s="256">
        <v>0</v>
      </c>
      <c r="AD264" s="257">
        <v>0</v>
      </c>
      <c r="AE264" s="256">
        <v>0</v>
      </c>
    </row>
    <row r="265" spans="1:31" ht="18" customHeight="1" x14ac:dyDescent="0.2">
      <c r="A265" s="30" t="s">
        <v>197</v>
      </c>
      <c r="B265" s="30" t="s">
        <v>22</v>
      </c>
      <c r="C265" s="4">
        <v>0</v>
      </c>
      <c r="D265" s="4">
        <v>0</v>
      </c>
      <c r="F265" s="106" t="s">
        <v>198</v>
      </c>
      <c r="H265" s="61">
        <v>0</v>
      </c>
      <c r="I265" s="61">
        <v>0</v>
      </c>
      <c r="J265" s="61">
        <v>0</v>
      </c>
      <c r="K265" s="86">
        <v>0</v>
      </c>
      <c r="L265" s="86">
        <v>0</v>
      </c>
      <c r="M265" s="61">
        <v>0</v>
      </c>
      <c r="N265" s="61">
        <v>0</v>
      </c>
      <c r="O265" s="61">
        <v>0</v>
      </c>
      <c r="P265" s="61">
        <v>0</v>
      </c>
      <c r="Q265" s="61">
        <v>0</v>
      </c>
      <c r="R265" s="61">
        <v>0</v>
      </c>
      <c r="S265" s="61">
        <v>0</v>
      </c>
      <c r="T265" s="61">
        <v>0</v>
      </c>
      <c r="U265" s="61">
        <v>0</v>
      </c>
      <c r="V265" s="61">
        <v>0</v>
      </c>
      <c r="W265" s="61">
        <v>0</v>
      </c>
      <c r="X265" s="61">
        <v>0</v>
      </c>
      <c r="Y265" s="61">
        <v>0</v>
      </c>
      <c r="AA265" s="61">
        <v>0</v>
      </c>
      <c r="AB265" s="60">
        <v>0</v>
      </c>
      <c r="AD265" s="61">
        <v>0</v>
      </c>
      <c r="AE265" s="60">
        <v>0</v>
      </c>
    </row>
    <row r="266" spans="1:31" ht="18" customHeight="1" x14ac:dyDescent="0.2">
      <c r="A266" s="30" t="s">
        <v>92</v>
      </c>
      <c r="B266" s="30" t="s">
        <v>22</v>
      </c>
      <c r="C266" s="4">
        <v>-6.2199604184337003E-2</v>
      </c>
      <c r="D266" s="4">
        <v>-5.3236200616419163E-2</v>
      </c>
      <c r="F266" s="106" t="s">
        <v>98</v>
      </c>
      <c r="H266" s="61">
        <v>-11.856</v>
      </c>
      <c r="I266" s="61">
        <v>-11.638999999999999</v>
      </c>
      <c r="J266" s="61">
        <v>-11.638999999999999</v>
      </c>
      <c r="K266" s="86">
        <v>-7.0739999999999998</v>
      </c>
      <c r="L266" s="86">
        <v>-7.1379999999999999</v>
      </c>
      <c r="M266" s="61">
        <v>-0.96699999999999997</v>
      </c>
      <c r="N266" s="61">
        <v>-0.85</v>
      </c>
      <c r="O266" s="61">
        <v>-0.90700000000000025</v>
      </c>
      <c r="P266" s="61">
        <v>-0.65699999999999958</v>
      </c>
      <c r="Q266" s="61">
        <v>-0.52400000000000002</v>
      </c>
      <c r="R266" s="61">
        <v>-0.57100000000000017</v>
      </c>
      <c r="S266" s="61">
        <v>-0.53800000000000026</v>
      </c>
      <c r="T266" s="61">
        <v>-0.56700000000000017</v>
      </c>
      <c r="U266" s="61">
        <v>-0.58399999999999963</v>
      </c>
      <c r="V266" s="61">
        <v>-0.45699999999999985</v>
      </c>
      <c r="W266" s="61">
        <v>-0.44599999999999973</v>
      </c>
      <c r="X266" s="61">
        <v>-0.44700000000000006</v>
      </c>
      <c r="Y266" s="61">
        <v>-7.5149999999999997</v>
      </c>
      <c r="AA266" s="61">
        <v>-7.0740000000000007</v>
      </c>
      <c r="AB266" s="60">
        <v>-0.44</v>
      </c>
      <c r="AD266" s="61">
        <v>-7.1380000000000008</v>
      </c>
      <c r="AE266" s="60">
        <v>-0.38</v>
      </c>
    </row>
    <row r="267" spans="1:31" ht="18" hidden="1" customHeight="1" outlineLevel="1" x14ac:dyDescent="0.2">
      <c r="A267" s="30" t="s">
        <v>172</v>
      </c>
      <c r="B267" s="30" t="s">
        <v>22</v>
      </c>
      <c r="C267" s="4">
        <v>0</v>
      </c>
      <c r="D267" s="4">
        <v>0</v>
      </c>
      <c r="F267" s="38" t="s">
        <v>173</v>
      </c>
      <c r="G267" s="34"/>
      <c r="H267" s="66">
        <v>0</v>
      </c>
      <c r="I267" s="66">
        <v>0</v>
      </c>
      <c r="J267" s="66">
        <v>0</v>
      </c>
      <c r="K267" s="86">
        <v>0</v>
      </c>
      <c r="L267" s="86">
        <v>0</v>
      </c>
      <c r="M267" s="66">
        <v>0</v>
      </c>
      <c r="N267" s="66">
        <v>0</v>
      </c>
      <c r="O267" s="66">
        <v>0</v>
      </c>
      <c r="P267" s="66">
        <v>0</v>
      </c>
      <c r="Q267" s="66">
        <v>0</v>
      </c>
      <c r="R267" s="66">
        <v>0</v>
      </c>
      <c r="S267" s="66">
        <v>0</v>
      </c>
      <c r="T267" s="66">
        <v>0</v>
      </c>
      <c r="U267" s="66">
        <v>0</v>
      </c>
      <c r="V267" s="66">
        <v>0</v>
      </c>
      <c r="W267" s="66">
        <v>0</v>
      </c>
      <c r="X267" s="66">
        <v>0</v>
      </c>
      <c r="Y267" s="66">
        <v>0</v>
      </c>
      <c r="Z267" s="34"/>
      <c r="AA267" s="66">
        <v>0</v>
      </c>
      <c r="AB267" s="60">
        <v>0</v>
      </c>
      <c r="AC267" s="34"/>
      <c r="AD267" s="66">
        <v>0</v>
      </c>
      <c r="AE267" s="60">
        <v>0</v>
      </c>
    </row>
    <row r="268" spans="1:31" ht="18" hidden="1" customHeight="1" outlineLevel="1" x14ac:dyDescent="0.2">
      <c r="A268" s="30" t="s">
        <v>88</v>
      </c>
      <c r="B268" s="30" t="s">
        <v>22</v>
      </c>
      <c r="C268" s="4">
        <v>0</v>
      </c>
      <c r="D268" s="4">
        <v>0</v>
      </c>
      <c r="F268" s="38" t="s">
        <v>93</v>
      </c>
      <c r="G268" s="34"/>
      <c r="H268" s="66">
        <v>0</v>
      </c>
      <c r="I268" s="66">
        <v>0</v>
      </c>
      <c r="J268" s="66">
        <v>0</v>
      </c>
      <c r="K268" s="86">
        <v>0</v>
      </c>
      <c r="L268" s="86">
        <v>0</v>
      </c>
      <c r="M268" s="66">
        <v>0</v>
      </c>
      <c r="N268" s="66">
        <v>0</v>
      </c>
      <c r="O268" s="66">
        <v>0</v>
      </c>
      <c r="P268" s="66">
        <v>0</v>
      </c>
      <c r="Q268" s="66">
        <v>0</v>
      </c>
      <c r="R268" s="66">
        <v>0</v>
      </c>
      <c r="S268" s="66">
        <v>0</v>
      </c>
      <c r="T268" s="66">
        <v>0</v>
      </c>
      <c r="U268" s="66">
        <v>0</v>
      </c>
      <c r="V268" s="66">
        <v>0</v>
      </c>
      <c r="W268" s="66">
        <v>0</v>
      </c>
      <c r="X268" s="66">
        <v>0</v>
      </c>
      <c r="Y268" s="66">
        <v>0</v>
      </c>
      <c r="Z268" s="34"/>
      <c r="AA268" s="66">
        <v>0</v>
      </c>
      <c r="AB268" s="60">
        <v>0</v>
      </c>
      <c r="AC268" s="34"/>
      <c r="AD268" s="66">
        <v>0</v>
      </c>
      <c r="AE268" s="60">
        <v>0</v>
      </c>
    </row>
    <row r="269" spans="1:31" ht="18" hidden="1" customHeight="1" outlineLevel="1" x14ac:dyDescent="0.2">
      <c r="A269" s="30" t="s">
        <v>174</v>
      </c>
      <c r="B269" s="30" t="s">
        <v>22</v>
      </c>
      <c r="C269" s="4">
        <v>-0.96491228070175439</v>
      </c>
      <c r="D269" s="4">
        <v>-0.96491228070175439</v>
      </c>
      <c r="F269" s="38" t="s">
        <v>175</v>
      </c>
      <c r="G269" s="34"/>
      <c r="H269" s="66">
        <v>0</v>
      </c>
      <c r="I269" s="66">
        <v>0</v>
      </c>
      <c r="J269" s="66">
        <v>0</v>
      </c>
      <c r="K269" s="86">
        <v>0</v>
      </c>
      <c r="L269" s="86">
        <v>0</v>
      </c>
      <c r="M269" s="66">
        <v>0</v>
      </c>
      <c r="N269" s="66">
        <v>0</v>
      </c>
      <c r="O269" s="66">
        <v>0</v>
      </c>
      <c r="P269" s="66">
        <v>0</v>
      </c>
      <c r="Q269" s="66">
        <v>0</v>
      </c>
      <c r="R269" s="66">
        <v>0</v>
      </c>
      <c r="S269" s="66">
        <v>0</v>
      </c>
      <c r="T269" s="66">
        <v>0</v>
      </c>
      <c r="U269" s="66">
        <v>0</v>
      </c>
      <c r="V269" s="66">
        <v>0</v>
      </c>
      <c r="W269" s="66">
        <v>-0.114</v>
      </c>
      <c r="X269" s="66">
        <v>0</v>
      </c>
      <c r="Y269" s="66">
        <v>-0.114</v>
      </c>
      <c r="Z269" s="34"/>
      <c r="AA269" s="66">
        <v>0</v>
      </c>
      <c r="AB269" s="60">
        <v>-0.11</v>
      </c>
      <c r="AC269" s="34"/>
      <c r="AD269" s="66">
        <v>0</v>
      </c>
      <c r="AE269" s="60">
        <v>-0.11</v>
      </c>
    </row>
    <row r="270" spans="1:31" ht="18" hidden="1" customHeight="1" outlineLevel="1" x14ac:dyDescent="0.2">
      <c r="A270" s="30" t="s">
        <v>191</v>
      </c>
      <c r="B270" s="30" t="s">
        <v>22</v>
      </c>
      <c r="C270" s="4">
        <v>0</v>
      </c>
      <c r="D270" s="4">
        <v>0</v>
      </c>
      <c r="F270" s="38" t="s">
        <v>192</v>
      </c>
      <c r="G270" s="34"/>
      <c r="H270" s="66">
        <v>0</v>
      </c>
      <c r="I270" s="66">
        <v>0</v>
      </c>
      <c r="J270" s="66">
        <v>0</v>
      </c>
      <c r="K270" s="86">
        <v>0</v>
      </c>
      <c r="L270" s="86">
        <v>0</v>
      </c>
      <c r="M270" s="66">
        <v>0</v>
      </c>
      <c r="N270" s="66">
        <v>0</v>
      </c>
      <c r="O270" s="66">
        <v>0</v>
      </c>
      <c r="P270" s="66">
        <v>0</v>
      </c>
      <c r="Q270" s="66">
        <v>0</v>
      </c>
      <c r="R270" s="66">
        <v>0</v>
      </c>
      <c r="S270" s="66">
        <v>0</v>
      </c>
      <c r="T270" s="66">
        <v>0</v>
      </c>
      <c r="U270" s="66">
        <v>0</v>
      </c>
      <c r="V270" s="66">
        <v>0</v>
      </c>
      <c r="W270" s="66">
        <v>0</v>
      </c>
      <c r="X270" s="66">
        <v>0</v>
      </c>
      <c r="Y270" s="66">
        <v>0</v>
      </c>
      <c r="Z270" s="34"/>
      <c r="AA270" s="66">
        <v>0</v>
      </c>
      <c r="AB270" s="60">
        <v>0</v>
      </c>
      <c r="AC270" s="34"/>
      <c r="AD270" s="66">
        <v>0</v>
      </c>
      <c r="AE270" s="60">
        <v>0</v>
      </c>
    </row>
    <row r="271" spans="1:31" ht="18" hidden="1" customHeight="1" outlineLevel="1" x14ac:dyDescent="0.2">
      <c r="A271" s="30" t="s">
        <v>130</v>
      </c>
      <c r="B271" s="30" t="s">
        <v>22</v>
      </c>
      <c r="C271" s="4">
        <v>-1.0009861932938855</v>
      </c>
      <c r="D271" s="4">
        <v>-1.4999999999999999E-2</v>
      </c>
      <c r="F271" s="38" t="s">
        <v>176</v>
      </c>
      <c r="G271" s="34"/>
      <c r="H271" s="66">
        <v>-1.5</v>
      </c>
      <c r="I271" s="66">
        <v>0</v>
      </c>
      <c r="J271" s="66">
        <v>0</v>
      </c>
      <c r="K271" s="86">
        <v>0</v>
      </c>
      <c r="L271" s="86">
        <v>-2</v>
      </c>
      <c r="M271" s="66">
        <v>-2.028</v>
      </c>
      <c r="N271" s="66">
        <v>0</v>
      </c>
      <c r="O271" s="66">
        <v>0</v>
      </c>
      <c r="P271" s="66">
        <v>0</v>
      </c>
      <c r="Q271" s="66">
        <v>0</v>
      </c>
      <c r="R271" s="66">
        <v>0</v>
      </c>
      <c r="S271" s="66">
        <v>0</v>
      </c>
      <c r="T271" s="66">
        <v>0</v>
      </c>
      <c r="U271" s="66">
        <v>0</v>
      </c>
      <c r="V271" s="66">
        <v>0</v>
      </c>
      <c r="W271" s="66">
        <v>0</v>
      </c>
      <c r="X271" s="66">
        <v>0</v>
      </c>
      <c r="Y271" s="66">
        <v>-2.028</v>
      </c>
      <c r="Z271" s="34"/>
      <c r="AA271" s="66">
        <v>0</v>
      </c>
      <c r="AB271" s="60">
        <v>-2.0299999999999998</v>
      </c>
      <c r="AC271" s="34"/>
      <c r="AD271" s="66">
        <v>-2</v>
      </c>
      <c r="AE271" s="60">
        <v>-0.03</v>
      </c>
    </row>
    <row r="272" spans="1:31" ht="18" hidden="1" customHeight="1" outlineLevel="1" x14ac:dyDescent="0.2">
      <c r="A272" s="30" t="s">
        <v>177</v>
      </c>
      <c r="B272" s="30" t="s">
        <v>22</v>
      </c>
      <c r="C272" s="4">
        <v>0</v>
      </c>
      <c r="D272" s="4">
        <v>0</v>
      </c>
      <c r="F272" s="38" t="s">
        <v>178</v>
      </c>
      <c r="G272" s="34"/>
      <c r="H272" s="66">
        <v>0</v>
      </c>
      <c r="I272" s="66">
        <v>0</v>
      </c>
      <c r="J272" s="66">
        <v>0</v>
      </c>
      <c r="K272" s="86">
        <v>0</v>
      </c>
      <c r="L272" s="86">
        <v>0</v>
      </c>
      <c r="M272" s="66">
        <v>0</v>
      </c>
      <c r="N272" s="66">
        <v>0</v>
      </c>
      <c r="O272" s="66">
        <v>0</v>
      </c>
      <c r="P272" s="66">
        <v>0</v>
      </c>
      <c r="Q272" s="66">
        <v>0</v>
      </c>
      <c r="R272" s="66">
        <v>0</v>
      </c>
      <c r="S272" s="66">
        <v>0</v>
      </c>
      <c r="T272" s="66">
        <v>0</v>
      </c>
      <c r="U272" s="66">
        <v>0</v>
      </c>
      <c r="V272" s="66">
        <v>0</v>
      </c>
      <c r="W272" s="66">
        <v>0</v>
      </c>
      <c r="X272" s="66">
        <v>0</v>
      </c>
      <c r="Y272" s="66">
        <v>0</v>
      </c>
      <c r="Z272" s="34"/>
      <c r="AA272" s="66">
        <v>0</v>
      </c>
      <c r="AB272" s="60">
        <v>0</v>
      </c>
      <c r="AC272" s="34"/>
      <c r="AD272" s="66">
        <v>0</v>
      </c>
      <c r="AE272" s="60">
        <v>0</v>
      </c>
    </row>
    <row r="273" spans="1:31" ht="18" hidden="1" customHeight="1" outlineLevel="1" x14ac:dyDescent="0.2">
      <c r="A273" s="30" t="s">
        <v>179</v>
      </c>
      <c r="B273" s="30" t="s">
        <v>22</v>
      </c>
      <c r="C273" s="4">
        <v>0</v>
      </c>
      <c r="D273" s="4">
        <v>0</v>
      </c>
      <c r="F273" s="38" t="s">
        <v>180</v>
      </c>
      <c r="G273" s="34"/>
      <c r="H273" s="66">
        <v>0</v>
      </c>
      <c r="I273" s="66">
        <v>-1.7000000000000001E-2</v>
      </c>
      <c r="J273" s="66">
        <v>-1.7000000000000001E-2</v>
      </c>
      <c r="K273" s="86">
        <v>0</v>
      </c>
      <c r="L273" s="86">
        <v>0</v>
      </c>
      <c r="M273" s="66">
        <v>0</v>
      </c>
      <c r="N273" s="66">
        <v>0</v>
      </c>
      <c r="O273" s="66">
        <v>0</v>
      </c>
      <c r="P273" s="66">
        <v>0</v>
      </c>
      <c r="Q273" s="66">
        <v>0</v>
      </c>
      <c r="R273" s="66">
        <v>0</v>
      </c>
      <c r="S273" s="66">
        <v>0</v>
      </c>
      <c r="T273" s="66">
        <v>0</v>
      </c>
      <c r="U273" s="66">
        <v>0</v>
      </c>
      <c r="V273" s="66">
        <v>0</v>
      </c>
      <c r="W273" s="66">
        <v>0</v>
      </c>
      <c r="X273" s="66">
        <v>0</v>
      </c>
      <c r="Y273" s="66">
        <v>0</v>
      </c>
      <c r="Z273" s="34"/>
      <c r="AA273" s="66">
        <v>0</v>
      </c>
      <c r="AB273" s="60">
        <v>0</v>
      </c>
      <c r="AC273" s="34"/>
      <c r="AD273" s="66">
        <v>0</v>
      </c>
      <c r="AE273" s="60">
        <v>0</v>
      </c>
    </row>
    <row r="274" spans="1:31" ht="18" hidden="1" customHeight="1" outlineLevel="1" x14ac:dyDescent="0.2">
      <c r="A274" s="30" t="s">
        <v>89</v>
      </c>
      <c r="B274" s="30" t="s">
        <v>22</v>
      </c>
      <c r="C274" s="4">
        <v>-1</v>
      </c>
      <c r="D274" s="4">
        <v>-1</v>
      </c>
      <c r="F274" s="38" t="s">
        <v>187</v>
      </c>
      <c r="G274" s="34"/>
      <c r="H274" s="66">
        <v>0</v>
      </c>
      <c r="I274" s="66">
        <v>0</v>
      </c>
      <c r="J274" s="66">
        <v>0</v>
      </c>
      <c r="K274" s="86">
        <v>0</v>
      </c>
      <c r="L274" s="86">
        <v>0</v>
      </c>
      <c r="M274" s="66">
        <v>0</v>
      </c>
      <c r="N274" s="66">
        <v>0</v>
      </c>
      <c r="O274" s="66">
        <v>0</v>
      </c>
      <c r="P274" s="66">
        <v>0</v>
      </c>
      <c r="Q274" s="66">
        <v>0</v>
      </c>
      <c r="R274" s="66">
        <v>0</v>
      </c>
      <c r="S274" s="66">
        <v>0</v>
      </c>
      <c r="T274" s="66">
        <v>-0.01</v>
      </c>
      <c r="U274" s="66">
        <v>0</v>
      </c>
      <c r="V274" s="66">
        <v>0</v>
      </c>
      <c r="W274" s="66">
        <v>0</v>
      </c>
      <c r="X274" s="66">
        <v>0</v>
      </c>
      <c r="Y274" s="66">
        <v>-0.01</v>
      </c>
      <c r="Z274" s="34"/>
      <c r="AA274" s="66">
        <v>0</v>
      </c>
      <c r="AB274" s="60">
        <v>-0.01</v>
      </c>
      <c r="AC274" s="34"/>
      <c r="AD274" s="66">
        <v>0</v>
      </c>
      <c r="AE274" s="60">
        <v>-0.01</v>
      </c>
    </row>
    <row r="275" spans="1:31" ht="18" hidden="1" customHeight="1" outlineLevel="1" x14ac:dyDescent="0.2">
      <c r="A275" s="30" t="s">
        <v>193</v>
      </c>
      <c r="B275" s="30" t="s">
        <v>22</v>
      </c>
      <c r="C275" s="4">
        <v>0</v>
      </c>
      <c r="D275" s="4">
        <v>0</v>
      </c>
      <c r="F275" s="38" t="s">
        <v>194</v>
      </c>
      <c r="G275" s="34"/>
      <c r="H275" s="66">
        <v>0</v>
      </c>
      <c r="I275" s="66">
        <v>0</v>
      </c>
      <c r="J275" s="66">
        <v>0</v>
      </c>
      <c r="K275" s="86">
        <v>0</v>
      </c>
      <c r="L275" s="86">
        <v>0</v>
      </c>
      <c r="M275" s="66">
        <v>0</v>
      </c>
      <c r="N275" s="66">
        <v>0</v>
      </c>
      <c r="O275" s="66">
        <v>0</v>
      </c>
      <c r="P275" s="66">
        <v>0</v>
      </c>
      <c r="Q275" s="66">
        <v>0</v>
      </c>
      <c r="R275" s="66">
        <v>0</v>
      </c>
      <c r="S275" s="66">
        <v>0</v>
      </c>
      <c r="T275" s="66">
        <v>0</v>
      </c>
      <c r="U275" s="66">
        <v>0</v>
      </c>
      <c r="V275" s="66">
        <v>0</v>
      </c>
      <c r="W275" s="66">
        <v>0</v>
      </c>
      <c r="X275" s="66">
        <v>0</v>
      </c>
      <c r="Y275" s="66">
        <v>0</v>
      </c>
      <c r="Z275" s="34"/>
      <c r="AA275" s="66">
        <v>0</v>
      </c>
      <c r="AB275" s="60">
        <v>0</v>
      </c>
      <c r="AC275" s="34"/>
      <c r="AD275" s="66">
        <v>0</v>
      </c>
      <c r="AE275" s="60">
        <v>0</v>
      </c>
    </row>
    <row r="276" spans="1:31" ht="18" hidden="1" customHeight="1" outlineLevel="1" x14ac:dyDescent="0.2">
      <c r="A276" s="30" t="s">
        <v>127</v>
      </c>
      <c r="B276" s="30" t="s">
        <v>22</v>
      </c>
      <c r="C276" s="4">
        <v>0</v>
      </c>
      <c r="D276" s="4">
        <v>0</v>
      </c>
      <c r="F276" s="38" t="s">
        <v>128</v>
      </c>
      <c r="G276" s="34"/>
      <c r="H276" s="66">
        <v>0</v>
      </c>
      <c r="I276" s="66">
        <v>-0.45800000000000002</v>
      </c>
      <c r="J276" s="66">
        <v>-0.45800000000000002</v>
      </c>
      <c r="K276" s="86">
        <v>0</v>
      </c>
      <c r="L276" s="86">
        <v>0</v>
      </c>
      <c r="M276" s="66">
        <v>0</v>
      </c>
      <c r="N276" s="66">
        <v>0</v>
      </c>
      <c r="O276" s="66">
        <v>0</v>
      </c>
      <c r="P276" s="66">
        <v>0</v>
      </c>
      <c r="Q276" s="66">
        <v>0</v>
      </c>
      <c r="R276" s="66">
        <v>0</v>
      </c>
      <c r="S276" s="66">
        <v>0</v>
      </c>
      <c r="T276" s="66">
        <v>0</v>
      </c>
      <c r="U276" s="66">
        <v>0</v>
      </c>
      <c r="V276" s="66">
        <v>0</v>
      </c>
      <c r="W276" s="66">
        <v>0</v>
      </c>
      <c r="X276" s="66">
        <v>0</v>
      </c>
      <c r="Y276" s="66">
        <v>0</v>
      </c>
      <c r="Z276" s="34"/>
      <c r="AA276" s="66">
        <v>0</v>
      </c>
      <c r="AB276" s="60">
        <v>0</v>
      </c>
      <c r="AC276" s="34"/>
      <c r="AD276" s="66">
        <v>0</v>
      </c>
      <c r="AE276" s="60">
        <v>0</v>
      </c>
    </row>
    <row r="277" spans="1:31" ht="18" hidden="1" customHeight="1" outlineLevel="1" x14ac:dyDescent="0.2">
      <c r="A277" s="30" t="s">
        <v>261</v>
      </c>
      <c r="B277" s="30" t="s">
        <v>22</v>
      </c>
      <c r="C277" s="4">
        <v>0</v>
      </c>
      <c r="D277" s="4">
        <v>0</v>
      </c>
      <c r="F277" s="38" t="s">
        <v>262</v>
      </c>
      <c r="G277" s="34"/>
      <c r="H277" s="66">
        <v>0</v>
      </c>
      <c r="I277" s="66">
        <v>0</v>
      </c>
      <c r="J277" s="66">
        <v>0</v>
      </c>
      <c r="K277" s="86">
        <v>0</v>
      </c>
      <c r="L277" s="86">
        <v>0</v>
      </c>
      <c r="M277" s="66">
        <v>0</v>
      </c>
      <c r="N277" s="66">
        <v>0</v>
      </c>
      <c r="O277" s="66">
        <v>0</v>
      </c>
      <c r="P277" s="66">
        <v>0</v>
      </c>
      <c r="Q277" s="66">
        <v>0</v>
      </c>
      <c r="R277" s="66">
        <v>0</v>
      </c>
      <c r="S277" s="66">
        <v>0</v>
      </c>
      <c r="T277" s="66">
        <v>0</v>
      </c>
      <c r="U277" s="66">
        <v>0</v>
      </c>
      <c r="V277" s="66">
        <v>0</v>
      </c>
      <c r="W277" s="66">
        <v>0</v>
      </c>
      <c r="X277" s="66">
        <v>0</v>
      </c>
      <c r="Y277" s="66">
        <v>0</v>
      </c>
      <c r="Z277" s="34"/>
      <c r="AA277" s="66">
        <v>0</v>
      </c>
      <c r="AB277" s="60">
        <v>0</v>
      </c>
      <c r="AC277" s="34"/>
      <c r="AD277" s="66">
        <v>0</v>
      </c>
      <c r="AE277" s="60">
        <v>0</v>
      </c>
    </row>
    <row r="278" spans="1:31" ht="18" hidden="1" customHeight="1" outlineLevel="1" x14ac:dyDescent="0.2">
      <c r="A278" s="30" t="s">
        <v>263</v>
      </c>
      <c r="B278" s="30" t="s">
        <v>22</v>
      </c>
      <c r="C278" s="4">
        <v>0</v>
      </c>
      <c r="D278" s="4">
        <v>0</v>
      </c>
      <c r="F278" s="38" t="s">
        <v>264</v>
      </c>
      <c r="G278" s="34"/>
      <c r="H278" s="66">
        <v>0</v>
      </c>
      <c r="I278" s="66">
        <v>0</v>
      </c>
      <c r="J278" s="66">
        <v>0</v>
      </c>
      <c r="K278" s="86">
        <v>0</v>
      </c>
      <c r="L278" s="86">
        <v>0</v>
      </c>
      <c r="M278" s="66">
        <v>0</v>
      </c>
      <c r="N278" s="66">
        <v>0</v>
      </c>
      <c r="O278" s="66">
        <v>0</v>
      </c>
      <c r="P278" s="66">
        <v>0</v>
      </c>
      <c r="Q278" s="66">
        <v>0</v>
      </c>
      <c r="R278" s="66">
        <v>0</v>
      </c>
      <c r="S278" s="66">
        <v>0</v>
      </c>
      <c r="T278" s="66">
        <v>0</v>
      </c>
      <c r="U278" s="66">
        <v>0</v>
      </c>
      <c r="V278" s="66">
        <v>0</v>
      </c>
      <c r="W278" s="66">
        <v>0</v>
      </c>
      <c r="X278" s="66">
        <v>0</v>
      </c>
      <c r="Y278" s="66">
        <v>0</v>
      </c>
      <c r="Z278" s="34"/>
      <c r="AA278" s="66">
        <v>0</v>
      </c>
      <c r="AB278" s="60">
        <v>0</v>
      </c>
      <c r="AC278" s="34"/>
      <c r="AD278" s="66">
        <v>0</v>
      </c>
      <c r="AE278" s="60">
        <v>0</v>
      </c>
    </row>
    <row r="279" spans="1:31" ht="18" hidden="1" customHeight="1" outlineLevel="1" x14ac:dyDescent="0.2">
      <c r="A279" s="30" t="s">
        <v>195</v>
      </c>
      <c r="B279" s="30" t="s">
        <v>22</v>
      </c>
      <c r="C279" s="4">
        <v>0</v>
      </c>
      <c r="D279" s="4">
        <v>0</v>
      </c>
      <c r="F279" s="38" t="s">
        <v>196</v>
      </c>
      <c r="G279" s="34"/>
      <c r="H279" s="66">
        <v>0</v>
      </c>
      <c r="I279" s="66">
        <v>0</v>
      </c>
      <c r="J279" s="66">
        <v>0</v>
      </c>
      <c r="K279" s="86">
        <v>0</v>
      </c>
      <c r="L279" s="86">
        <v>0</v>
      </c>
      <c r="M279" s="66">
        <v>0</v>
      </c>
      <c r="N279" s="66">
        <v>0</v>
      </c>
      <c r="O279" s="66">
        <v>0</v>
      </c>
      <c r="P279" s="66">
        <v>0</v>
      </c>
      <c r="Q279" s="66">
        <v>0</v>
      </c>
      <c r="R279" s="66">
        <v>0</v>
      </c>
      <c r="S279" s="66">
        <v>0</v>
      </c>
      <c r="T279" s="66">
        <v>0</v>
      </c>
      <c r="U279" s="66">
        <v>0</v>
      </c>
      <c r="V279" s="66">
        <v>0</v>
      </c>
      <c r="W279" s="66">
        <v>0</v>
      </c>
      <c r="X279" s="66">
        <v>0</v>
      </c>
      <c r="Y279" s="66">
        <v>0</v>
      </c>
      <c r="Z279" s="34"/>
      <c r="AA279" s="66">
        <v>0</v>
      </c>
      <c r="AB279" s="60">
        <v>0</v>
      </c>
      <c r="AC279" s="34"/>
      <c r="AD279" s="66">
        <v>0</v>
      </c>
      <c r="AE279" s="60">
        <v>0</v>
      </c>
    </row>
    <row r="280" spans="1:31" ht="18" hidden="1" customHeight="1" outlineLevel="1" x14ac:dyDescent="0.2">
      <c r="A280" s="30" t="s">
        <v>200</v>
      </c>
      <c r="B280" s="30" t="s">
        <v>22</v>
      </c>
      <c r="C280" s="4">
        <v>0</v>
      </c>
      <c r="D280" s="4">
        <v>0</v>
      </c>
      <c r="F280" s="104" t="s">
        <v>183</v>
      </c>
      <c r="G280" s="36"/>
      <c r="H280" s="65">
        <v>0</v>
      </c>
      <c r="I280" s="65">
        <v>0</v>
      </c>
      <c r="J280" s="65">
        <v>0</v>
      </c>
      <c r="K280" s="90">
        <v>0</v>
      </c>
      <c r="L280" s="90">
        <v>0</v>
      </c>
      <c r="M280" s="65">
        <v>0</v>
      </c>
      <c r="N280" s="65">
        <v>0</v>
      </c>
      <c r="O280" s="65">
        <v>0</v>
      </c>
      <c r="P280" s="65">
        <v>0</v>
      </c>
      <c r="Q280" s="65">
        <v>0</v>
      </c>
      <c r="R280" s="65">
        <v>0</v>
      </c>
      <c r="S280" s="65">
        <v>0</v>
      </c>
      <c r="T280" s="65">
        <v>0</v>
      </c>
      <c r="U280" s="65">
        <v>0</v>
      </c>
      <c r="V280" s="65">
        <v>0</v>
      </c>
      <c r="W280" s="65">
        <v>0</v>
      </c>
      <c r="X280" s="65">
        <v>0</v>
      </c>
      <c r="Y280" s="65">
        <v>0</v>
      </c>
      <c r="Z280" s="36"/>
      <c r="AA280" s="65">
        <v>0</v>
      </c>
      <c r="AB280" s="60">
        <v>0</v>
      </c>
      <c r="AC280" s="36"/>
      <c r="AD280" s="65">
        <v>0</v>
      </c>
      <c r="AE280" s="60">
        <v>0</v>
      </c>
    </row>
    <row r="281" spans="1:31" ht="18" hidden="1" customHeight="1" outlineLevel="1" x14ac:dyDescent="0.2">
      <c r="A281" s="30" t="s">
        <v>199</v>
      </c>
      <c r="B281" s="30" t="s">
        <v>22</v>
      </c>
      <c r="C281" s="4">
        <v>0</v>
      </c>
      <c r="D281" s="4">
        <v>0</v>
      </c>
      <c r="F281" s="38" t="s">
        <v>184</v>
      </c>
      <c r="G281" s="34"/>
      <c r="H281" s="66">
        <v>0</v>
      </c>
      <c r="I281" s="66">
        <v>0</v>
      </c>
      <c r="J281" s="66">
        <v>0</v>
      </c>
      <c r="K281" s="86">
        <v>0</v>
      </c>
      <c r="L281" s="86">
        <v>0</v>
      </c>
      <c r="M281" s="66">
        <v>0</v>
      </c>
      <c r="N281" s="66">
        <v>0</v>
      </c>
      <c r="O281" s="66">
        <v>0</v>
      </c>
      <c r="P281" s="66">
        <v>0</v>
      </c>
      <c r="Q281" s="66">
        <v>0</v>
      </c>
      <c r="R281" s="66">
        <v>0</v>
      </c>
      <c r="S281" s="66">
        <v>0</v>
      </c>
      <c r="T281" s="66">
        <v>0</v>
      </c>
      <c r="U281" s="66">
        <v>0</v>
      </c>
      <c r="V281" s="66">
        <v>0</v>
      </c>
      <c r="W281" s="66">
        <v>0</v>
      </c>
      <c r="X281" s="66">
        <v>0</v>
      </c>
      <c r="Y281" s="66">
        <v>0</v>
      </c>
      <c r="Z281" s="34"/>
      <c r="AA281" s="66">
        <v>0</v>
      </c>
      <c r="AB281" s="60">
        <v>0</v>
      </c>
      <c r="AC281" s="34"/>
      <c r="AD281" s="66">
        <v>0</v>
      </c>
      <c r="AE281" s="60">
        <v>0</v>
      </c>
    </row>
    <row r="282" spans="1:31" s="253" customFormat="1" ht="18" hidden="1" customHeight="1" outlineLevel="1" x14ac:dyDescent="0.2">
      <c r="A282" s="276" t="s">
        <v>445</v>
      </c>
      <c r="B282" s="276" t="s">
        <v>22</v>
      </c>
      <c r="C282" s="252">
        <v>-1.001890359168242</v>
      </c>
      <c r="D282" s="252">
        <v>0</v>
      </c>
      <c r="F282" s="255" t="s">
        <v>452</v>
      </c>
      <c r="G282" s="239"/>
      <c r="H282" s="241">
        <v>0</v>
      </c>
      <c r="I282" s="241">
        <v>-0.17</v>
      </c>
      <c r="J282" s="241">
        <v>-0.17</v>
      </c>
      <c r="K282" s="258">
        <v>0</v>
      </c>
      <c r="L282" s="258">
        <v>-1.5</v>
      </c>
      <c r="M282" s="241">
        <v>-4.7E-2</v>
      </c>
      <c r="N282" s="241">
        <v>-4.7E-2</v>
      </c>
      <c r="O282" s="241">
        <v>-4.8999999999999988E-2</v>
      </c>
      <c r="P282" s="241">
        <v>-4.8000000000000015E-2</v>
      </c>
      <c r="Q282" s="241">
        <v>-1.0509999999999999</v>
      </c>
      <c r="R282" s="241">
        <v>-4.8999999999999932E-2</v>
      </c>
      <c r="S282" s="241">
        <v>-4.9000000000000155E-2</v>
      </c>
      <c r="T282" s="241">
        <v>-4.6999999999999931E-2</v>
      </c>
      <c r="U282" s="241">
        <v>-5.0000000000000044E-2</v>
      </c>
      <c r="V282" s="241">
        <v>-4.8999999999999932E-2</v>
      </c>
      <c r="W282" s="241">
        <v>-5.0000000000000044E-2</v>
      </c>
      <c r="X282" s="241">
        <v>-5.0999999999999934E-2</v>
      </c>
      <c r="Y282" s="241">
        <v>-1.587</v>
      </c>
      <c r="Z282" s="239"/>
      <c r="AA282" s="241">
        <v>0</v>
      </c>
      <c r="AB282" s="256">
        <v>-1.59</v>
      </c>
      <c r="AC282" s="239"/>
      <c r="AD282" s="241"/>
      <c r="AE282" s="256"/>
    </row>
    <row r="283" spans="1:31" ht="18" hidden="1" customHeight="1" outlineLevel="1" x14ac:dyDescent="0.2">
      <c r="A283" s="30" t="s">
        <v>185</v>
      </c>
      <c r="B283" s="30" t="s">
        <v>22</v>
      </c>
      <c r="C283" s="4">
        <v>0</v>
      </c>
      <c r="D283" s="4">
        <v>0</v>
      </c>
      <c r="F283" s="38" t="s">
        <v>186</v>
      </c>
      <c r="G283" s="34"/>
      <c r="H283" s="66">
        <v>0</v>
      </c>
      <c r="I283" s="66">
        <v>69.314999999999998</v>
      </c>
      <c r="J283" s="66">
        <v>69.314999999999998</v>
      </c>
      <c r="K283" s="86">
        <v>0</v>
      </c>
      <c r="L283" s="86">
        <v>0</v>
      </c>
      <c r="M283" s="66">
        <v>0</v>
      </c>
      <c r="N283" s="66">
        <v>0</v>
      </c>
      <c r="O283" s="66">
        <v>0</v>
      </c>
      <c r="P283" s="66">
        <v>0</v>
      </c>
      <c r="Q283" s="66">
        <v>0</v>
      </c>
      <c r="R283" s="66">
        <v>0</v>
      </c>
      <c r="S283" s="66">
        <v>0</v>
      </c>
      <c r="T283" s="66">
        <v>0</v>
      </c>
      <c r="U283" s="66">
        <v>0</v>
      </c>
      <c r="V283" s="66">
        <v>0</v>
      </c>
      <c r="W283" s="66">
        <v>0</v>
      </c>
      <c r="X283" s="66">
        <v>0</v>
      </c>
      <c r="Y283" s="66">
        <v>0</v>
      </c>
      <c r="Z283" s="34"/>
      <c r="AA283" s="66">
        <v>0</v>
      </c>
      <c r="AB283" s="60">
        <v>0</v>
      </c>
      <c r="AC283" s="34"/>
      <c r="AD283" s="66">
        <v>0</v>
      </c>
      <c r="AE283" s="60">
        <v>0</v>
      </c>
    </row>
    <row r="284" spans="1:31" ht="18" hidden="1" customHeight="1" outlineLevel="1" x14ac:dyDescent="0.2">
      <c r="A284" s="30" t="s">
        <v>125</v>
      </c>
      <c r="B284" s="30" t="s">
        <v>22</v>
      </c>
      <c r="C284" s="4">
        <v>1.0149999999999999</v>
      </c>
      <c r="D284" s="4">
        <v>1.1111111111111112</v>
      </c>
      <c r="F284" s="38" t="s">
        <v>126</v>
      </c>
      <c r="G284" s="34"/>
      <c r="H284" s="66">
        <v>-3.335</v>
      </c>
      <c r="I284" s="66">
        <v>-2.145</v>
      </c>
      <c r="J284" s="66">
        <v>-2.145</v>
      </c>
      <c r="K284" s="86">
        <v>-2</v>
      </c>
      <c r="L284" s="86">
        <v>0</v>
      </c>
      <c r="M284" s="66">
        <v>2.7E-2</v>
      </c>
      <c r="N284" s="66">
        <v>0</v>
      </c>
      <c r="O284" s="66">
        <v>0</v>
      </c>
      <c r="P284" s="66">
        <v>0</v>
      </c>
      <c r="Q284" s="66">
        <v>0</v>
      </c>
      <c r="R284" s="66">
        <v>0</v>
      </c>
      <c r="S284" s="66">
        <v>0</v>
      </c>
      <c r="T284" s="66">
        <v>0</v>
      </c>
      <c r="U284" s="66">
        <v>0</v>
      </c>
      <c r="V284" s="66">
        <v>0</v>
      </c>
      <c r="W284" s="66">
        <v>0</v>
      </c>
      <c r="X284" s="66">
        <v>0</v>
      </c>
      <c r="Y284" s="66">
        <v>2.7E-2</v>
      </c>
      <c r="Z284" s="34"/>
      <c r="AA284" s="66">
        <v>-2</v>
      </c>
      <c r="AB284" s="60">
        <v>2.0299999999999998</v>
      </c>
      <c r="AC284" s="34"/>
      <c r="AD284" s="66">
        <v>0</v>
      </c>
      <c r="AE284" s="60">
        <v>0.03</v>
      </c>
    </row>
    <row r="285" spans="1:31" ht="18" customHeight="1" collapsed="1" x14ac:dyDescent="0.2">
      <c r="A285" s="35"/>
      <c r="B285" s="35"/>
      <c r="C285" s="4">
        <v>-0.85499999999999998</v>
      </c>
      <c r="D285" s="4">
        <v>-0.06</v>
      </c>
      <c r="F285" s="106" t="s">
        <v>69</v>
      </c>
      <c r="H285" s="61">
        <v>-4.835</v>
      </c>
      <c r="I285" s="61">
        <v>66.525000000000006</v>
      </c>
      <c r="J285" s="61">
        <v>66.525000000000006</v>
      </c>
      <c r="K285" s="86">
        <v>-2</v>
      </c>
      <c r="L285" s="86">
        <v>-3.5</v>
      </c>
      <c r="M285" s="61">
        <v>-2.048</v>
      </c>
      <c r="N285" s="61">
        <v>-4.7E-2</v>
      </c>
      <c r="O285" s="61">
        <v>-4.8999999999999988E-2</v>
      </c>
      <c r="P285" s="61">
        <v>-4.8000000000000015E-2</v>
      </c>
      <c r="Q285" s="61">
        <v>-1.0509999999999999</v>
      </c>
      <c r="R285" s="61">
        <v>-4.8999999999999932E-2</v>
      </c>
      <c r="S285" s="61">
        <v>-4.9000000000000155E-2</v>
      </c>
      <c r="T285" s="61">
        <v>-5.6999999999999933E-2</v>
      </c>
      <c r="U285" s="61">
        <v>-5.0000000000000044E-2</v>
      </c>
      <c r="V285" s="61">
        <v>-4.8999999999999932E-2</v>
      </c>
      <c r="W285" s="61">
        <v>-0.16400000000000003</v>
      </c>
      <c r="X285" s="61">
        <v>-5.0999999999999934E-2</v>
      </c>
      <c r="Y285" s="61">
        <v>-3.7119999999999997</v>
      </c>
      <c r="AA285" s="61">
        <v>-2</v>
      </c>
      <c r="AB285" s="60">
        <v>-1.71</v>
      </c>
      <c r="AD285" s="61">
        <v>-3.5</v>
      </c>
      <c r="AE285" s="60">
        <v>-0.21</v>
      </c>
    </row>
    <row r="286" spans="1:31" ht="18" customHeight="1" x14ac:dyDescent="0.2">
      <c r="A286" s="30" t="s">
        <v>257</v>
      </c>
      <c r="B286" s="30" t="s">
        <v>22</v>
      </c>
      <c r="C286" s="4">
        <v>-2.08</v>
      </c>
      <c r="D286" s="4">
        <v>0.86829268292682926</v>
      </c>
      <c r="F286" s="104" t="s">
        <v>258</v>
      </c>
      <c r="G286" s="36"/>
      <c r="H286" s="65">
        <v>-23.920999999999999</v>
      </c>
      <c r="I286" s="65">
        <v>163.55099999999999</v>
      </c>
      <c r="J286" s="65">
        <v>163.55099999999999</v>
      </c>
      <c r="K286" s="65">
        <v>5</v>
      </c>
      <c r="L286" s="65">
        <v>-41</v>
      </c>
      <c r="M286" s="65">
        <v>-30.734000000000002</v>
      </c>
      <c r="N286" s="65">
        <v>-31.415999999999997</v>
      </c>
      <c r="O286" s="65">
        <v>-8.0300000000000082</v>
      </c>
      <c r="P286" s="65">
        <v>-2.1189999999999998</v>
      </c>
      <c r="Q286" s="65">
        <v>-7.3629999999999995</v>
      </c>
      <c r="R286" s="65">
        <v>23.347000000000008</v>
      </c>
      <c r="S286" s="65">
        <v>0</v>
      </c>
      <c r="T286" s="65">
        <v>8.5790000000000006</v>
      </c>
      <c r="U286" s="65">
        <v>-2.5</v>
      </c>
      <c r="V286" s="65">
        <v>3.4739999999999966</v>
      </c>
      <c r="W286" s="65">
        <v>33.267000000000003</v>
      </c>
      <c r="X286" s="65">
        <v>8.0979999999999883</v>
      </c>
      <c r="Y286" s="65">
        <v>-5.39700000000001</v>
      </c>
      <c r="Z286" s="36"/>
      <c r="AA286" s="65">
        <v>5</v>
      </c>
      <c r="AB286" s="60">
        <v>-10.4</v>
      </c>
      <c r="AC286" s="36"/>
      <c r="AD286" s="65">
        <v>-41</v>
      </c>
      <c r="AE286" s="60">
        <v>35.6</v>
      </c>
    </row>
    <row r="287" spans="1:31" ht="18" customHeight="1" x14ac:dyDescent="0.2">
      <c r="A287" s="30" t="s">
        <v>256</v>
      </c>
      <c r="B287" s="30" t="s">
        <v>22</v>
      </c>
      <c r="C287" s="4">
        <v>-1.0003973773097556</v>
      </c>
      <c r="D287" s="4">
        <v>-7.000000000000001E-3</v>
      </c>
      <c r="F287" s="104" t="s">
        <v>259</v>
      </c>
      <c r="G287" s="36"/>
      <c r="H287" s="65">
        <v>0</v>
      </c>
      <c r="I287" s="65">
        <v>0</v>
      </c>
      <c r="J287" s="65">
        <v>0</v>
      </c>
      <c r="K287" s="65">
        <v>0</v>
      </c>
      <c r="L287" s="65">
        <v>-10</v>
      </c>
      <c r="M287" s="65">
        <v>0</v>
      </c>
      <c r="N287" s="65">
        <v>0</v>
      </c>
      <c r="O287" s="65">
        <v>0</v>
      </c>
      <c r="P287" s="65">
        <v>0</v>
      </c>
      <c r="Q287" s="65">
        <v>0</v>
      </c>
      <c r="R287" s="65">
        <v>0</v>
      </c>
      <c r="S287" s="65">
        <v>0</v>
      </c>
      <c r="T287" s="65">
        <v>-9.09</v>
      </c>
      <c r="U287" s="65">
        <v>-0.97600000000000087</v>
      </c>
      <c r="V287" s="65">
        <v>0</v>
      </c>
      <c r="W287" s="65">
        <v>0</v>
      </c>
      <c r="X287" s="65">
        <v>0</v>
      </c>
      <c r="Y287" s="65">
        <v>-10.066000000000001</v>
      </c>
      <c r="Z287" s="36"/>
      <c r="AA287" s="65">
        <v>0</v>
      </c>
      <c r="AB287" s="60">
        <v>-10.07</v>
      </c>
      <c r="AC287" s="36"/>
      <c r="AD287" s="65">
        <v>-10</v>
      </c>
      <c r="AE287" s="60">
        <v>-7.0000000000000007E-2</v>
      </c>
    </row>
    <row r="288" spans="1:31" ht="18" customHeight="1" x14ac:dyDescent="0.2">
      <c r="A288" s="35"/>
      <c r="B288" s="35"/>
      <c r="C288" s="4">
        <v>2.3204391479296024E-2</v>
      </c>
      <c r="D288" s="4">
        <v>0.22519858466997728</v>
      </c>
      <c r="F288" s="95" t="s">
        <v>87</v>
      </c>
      <c r="H288" s="64">
        <v>-206.828</v>
      </c>
      <c r="I288" s="64">
        <v>64.150999999999982</v>
      </c>
      <c r="J288" s="64">
        <v>64.150999999999982</v>
      </c>
      <c r="K288" s="89">
        <v>-155.57400000000001</v>
      </c>
      <c r="L288" s="89">
        <v>-196.13800000000001</v>
      </c>
      <c r="M288" s="64">
        <v>-47.176000000000002</v>
      </c>
      <c r="N288" s="64">
        <v>-47.681999999999995</v>
      </c>
      <c r="O288" s="64">
        <v>-12.135000000000009</v>
      </c>
      <c r="P288" s="64">
        <v>-13.716999999999997</v>
      </c>
      <c r="Q288" s="64">
        <v>-22.060999999999996</v>
      </c>
      <c r="R288" s="64">
        <v>21.039000000000009</v>
      </c>
      <c r="S288" s="64">
        <v>-9.7610000000000063</v>
      </c>
      <c r="T288" s="64">
        <v>-12.881000000000002</v>
      </c>
      <c r="U288" s="64">
        <v>-13.793999999999992</v>
      </c>
      <c r="V288" s="64">
        <v>-5.6800000000000033</v>
      </c>
      <c r="W288" s="64">
        <v>18.974</v>
      </c>
      <c r="X288" s="64">
        <v>-7.0920000000000147</v>
      </c>
      <c r="Y288" s="64">
        <v>-151.96600000000001</v>
      </c>
      <c r="AA288" s="64">
        <v>-155.57400000000001</v>
      </c>
      <c r="AB288" s="60">
        <v>3.61</v>
      </c>
      <c r="AD288" s="64">
        <v>-196.13800000000001</v>
      </c>
      <c r="AE288" s="60">
        <v>44.17</v>
      </c>
    </row>
    <row r="289" spans="1:33" ht="12.95" customHeight="1" x14ac:dyDescent="0.2">
      <c r="A289" s="35"/>
      <c r="B289" s="35"/>
      <c r="C289" s="4"/>
      <c r="D289" s="4"/>
      <c r="F289" s="39" t="s">
        <v>223</v>
      </c>
      <c r="H289" s="56">
        <v>3.0558049182934012E-2</v>
      </c>
      <c r="I289" s="56">
        <v>-9.3949841671721636E-3</v>
      </c>
      <c r="J289" s="56">
        <v>-9.3949841671721636E-3</v>
      </c>
      <c r="K289" s="109">
        <v>2.4289374136517543E-2</v>
      </c>
      <c r="L289" s="109">
        <v>3.0702215062021015E-2</v>
      </c>
      <c r="M289" s="56">
        <v>9.0373055128789653E-2</v>
      </c>
      <c r="N289" s="56">
        <v>8.30170414580301E-2</v>
      </c>
      <c r="O289" s="56">
        <v>2.3004608504596197E-2</v>
      </c>
      <c r="P289" s="56">
        <v>2.1666403411783285E-2</v>
      </c>
      <c r="Q289" s="56">
        <v>4.0994146613397738E-2</v>
      </c>
      <c r="R289" s="56">
        <v>-3.7587832683316419E-2</v>
      </c>
      <c r="S289" s="56">
        <v>1.905764150703948E-2</v>
      </c>
      <c r="T289" s="56">
        <v>2.4344838274372262E-2</v>
      </c>
      <c r="U289" s="56">
        <v>2.5268271594535277E-2</v>
      </c>
      <c r="V289" s="56">
        <v>1.1241158472627374E-2</v>
      </c>
      <c r="W289" s="56">
        <v>-3.2559304815770726E-2</v>
      </c>
      <c r="X289" s="56">
        <v>1.2112662104207852E-2</v>
      </c>
      <c r="Y289" s="56">
        <v>2.2970884540642771E-2</v>
      </c>
      <c r="AA289" s="56">
        <v>2.4289374136517543E-2</v>
      </c>
      <c r="AB289" s="57"/>
      <c r="AD289" s="56">
        <v>3.0702215062021015E-2</v>
      </c>
      <c r="AE289" s="57"/>
    </row>
    <row r="290" spans="1:33" ht="6.95" customHeight="1" x14ac:dyDescent="0.2">
      <c r="C290" s="4"/>
      <c r="D290" s="4"/>
      <c r="F290" s="96"/>
      <c r="H290" s="16"/>
      <c r="I290" s="16"/>
      <c r="J290" s="16"/>
      <c r="K290" s="85"/>
      <c r="L290" s="85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AA290" s="16"/>
      <c r="AB290" s="20"/>
      <c r="AD290" s="16"/>
      <c r="AE290" s="20"/>
    </row>
    <row r="291" spans="1:33" ht="18" customHeight="1" x14ac:dyDescent="0.2">
      <c r="A291" s="30" t="s">
        <v>19</v>
      </c>
      <c r="B291" s="30" t="s">
        <v>25</v>
      </c>
      <c r="C291" s="4">
        <v>0.29909090909090907</v>
      </c>
      <c r="D291" s="4">
        <v>-2.8000000000000001E-2</v>
      </c>
      <c r="F291" s="104" t="s">
        <v>255</v>
      </c>
      <c r="G291" s="36"/>
      <c r="H291" s="65">
        <v>-3.1080000000000001</v>
      </c>
      <c r="I291" s="65">
        <v>-8.734</v>
      </c>
      <c r="J291" s="65">
        <v>-8.734</v>
      </c>
      <c r="K291" s="65">
        <v>-11</v>
      </c>
      <c r="L291" s="65">
        <v>-7.5</v>
      </c>
      <c r="M291" s="65">
        <v>0</v>
      </c>
      <c r="N291" s="65">
        <v>-0.623</v>
      </c>
      <c r="O291" s="65">
        <v>-0.41700000000000004</v>
      </c>
      <c r="P291" s="65">
        <v>-0.38300000000000001</v>
      </c>
      <c r="Q291" s="65">
        <v>-0.67099999999999982</v>
      </c>
      <c r="R291" s="65">
        <v>0.43199999999999994</v>
      </c>
      <c r="S291" s="65">
        <v>0</v>
      </c>
      <c r="T291" s="65">
        <v>-2.0209999999999999</v>
      </c>
      <c r="U291" s="65">
        <v>-1.0110000000000001</v>
      </c>
      <c r="V291" s="65">
        <v>-1.1760000000000002</v>
      </c>
      <c r="W291" s="65">
        <v>-0.35799999999999965</v>
      </c>
      <c r="X291" s="65">
        <v>-1.4790000000000001</v>
      </c>
      <c r="Y291" s="65">
        <v>-7.7069999999999999</v>
      </c>
      <c r="Z291" s="36"/>
      <c r="AA291" s="65">
        <v>-11</v>
      </c>
      <c r="AB291" s="60">
        <v>3.29</v>
      </c>
      <c r="AC291" s="36"/>
      <c r="AD291" s="65">
        <v>-7.5</v>
      </c>
      <c r="AE291" s="60">
        <v>-0.21</v>
      </c>
    </row>
    <row r="292" spans="1:33" ht="12.95" customHeight="1" x14ac:dyDescent="0.2">
      <c r="A292" s="35"/>
      <c r="B292" s="35"/>
      <c r="C292" s="4"/>
      <c r="D292" s="4"/>
      <c r="F292" s="39" t="s">
        <v>223</v>
      </c>
      <c r="H292" s="56">
        <v>4.591951614895416E-4</v>
      </c>
      <c r="I292" s="56">
        <v>1.2791038598943384E-3</v>
      </c>
      <c r="J292" s="56">
        <v>1.2791038598943384E-3</v>
      </c>
      <c r="K292" s="109">
        <v>1.7174021076895431E-3</v>
      </c>
      <c r="L292" s="109">
        <v>1.1740030639914632E-3</v>
      </c>
      <c r="M292" s="56">
        <v>0</v>
      </c>
      <c r="N292" s="56">
        <v>1.0846780090674208E-3</v>
      </c>
      <c r="O292" s="56">
        <v>7.9051683118389852E-4</v>
      </c>
      <c r="P292" s="56">
        <v>6.0495972200284322E-4</v>
      </c>
      <c r="Q292" s="56">
        <v>1.2468642571773663E-3</v>
      </c>
      <c r="R292" s="56">
        <v>-7.7180206850100688E-4</v>
      </c>
      <c r="S292" s="56">
        <v>0</v>
      </c>
      <c r="T292" s="56">
        <v>3.8196505048137827E-3</v>
      </c>
      <c r="U292" s="56">
        <v>1.8519807584511515E-3</v>
      </c>
      <c r="V292" s="56">
        <v>2.3273947823608775E-3</v>
      </c>
      <c r="W292" s="56">
        <v>6.1432650595793755E-4</v>
      </c>
      <c r="X292" s="56">
        <v>2.5260331714781975E-3</v>
      </c>
      <c r="Y292" s="56">
        <v>1.1649751072919851E-3</v>
      </c>
      <c r="AA292" s="56">
        <v>1.7174021076895431E-3</v>
      </c>
      <c r="AB292" s="57"/>
      <c r="AD292" s="56">
        <v>1.1740030639914632E-3</v>
      </c>
      <c r="AE292" s="57"/>
    </row>
    <row r="293" spans="1:33" ht="6.95" customHeight="1" x14ac:dyDescent="0.2">
      <c r="C293" s="4"/>
      <c r="D293" s="4"/>
      <c r="F293" s="96"/>
      <c r="H293" s="16"/>
      <c r="I293" s="16"/>
      <c r="J293" s="16"/>
      <c r="K293" s="85"/>
      <c r="L293" s="85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AA293" s="16"/>
      <c r="AB293" s="20"/>
      <c r="AD293" s="16"/>
      <c r="AE293" s="20"/>
    </row>
    <row r="294" spans="1:33" s="40" customFormat="1" ht="18" customHeight="1" x14ac:dyDescent="0.2">
      <c r="A294" s="35"/>
      <c r="B294" s="35"/>
      <c r="C294" s="4">
        <v>7.4508168814623882E-2</v>
      </c>
      <c r="D294" s="4">
        <v>9.0369333944408006E-2</v>
      </c>
      <c r="E294" s="8"/>
      <c r="F294" s="100" t="s">
        <v>279</v>
      </c>
      <c r="G294" s="8"/>
      <c r="H294" s="62">
        <v>-707.63099999999986</v>
      </c>
      <c r="I294" s="62">
        <v>-398.10700000000003</v>
      </c>
      <c r="J294" s="62">
        <v>-398.10700000000003</v>
      </c>
      <c r="K294" s="108">
        <v>-640.60090000000002</v>
      </c>
      <c r="L294" s="108">
        <v>-651.76976999999999</v>
      </c>
      <c r="M294" s="62">
        <v>-83.705999999999989</v>
      </c>
      <c r="N294" s="62">
        <v>-83.247</v>
      </c>
      <c r="O294" s="62">
        <v>-51.128</v>
      </c>
      <c r="P294" s="62">
        <v>-51.196999999999996</v>
      </c>
      <c r="Q294" s="62">
        <v>-59.082000000000001</v>
      </c>
      <c r="R294" s="62">
        <v>-17.385000000000002</v>
      </c>
      <c r="S294" s="62">
        <v>-44.319000000000017</v>
      </c>
      <c r="T294" s="62">
        <v>-40.786000000000023</v>
      </c>
      <c r="U294" s="62">
        <v>-48.428999999999974</v>
      </c>
      <c r="V294" s="62">
        <v>-41.756</v>
      </c>
      <c r="W294" s="62">
        <v>-21.405000000000022</v>
      </c>
      <c r="X294" s="62">
        <v>-50.429999999999986</v>
      </c>
      <c r="Y294" s="62">
        <v>-592.87</v>
      </c>
      <c r="Z294" s="8"/>
      <c r="AA294" s="62">
        <v>-640.60090000000002</v>
      </c>
      <c r="AB294" s="60">
        <v>47.73</v>
      </c>
      <c r="AC294" s="8"/>
      <c r="AD294" s="62">
        <v>-651.76976999999999</v>
      </c>
      <c r="AE294" s="60">
        <v>58.9</v>
      </c>
      <c r="AG294" s="41"/>
    </row>
    <row r="295" spans="1:33" ht="12.95" customHeight="1" x14ac:dyDescent="0.2">
      <c r="A295" s="35"/>
      <c r="B295" s="35"/>
      <c r="C295" s="4"/>
      <c r="D295" s="4"/>
      <c r="F295" s="39" t="s">
        <v>223</v>
      </c>
      <c r="H295" s="56">
        <v>0.1045497848519967</v>
      </c>
      <c r="I295" s="56">
        <v>5.8303205902330589E-2</v>
      </c>
      <c r="J295" s="56">
        <v>5.8303205902330589E-2</v>
      </c>
      <c r="K295" s="109">
        <v>0.10001539416798347</v>
      </c>
      <c r="L295" s="109">
        <v>0.10202396093293484</v>
      </c>
      <c r="M295" s="56">
        <v>0.1603520212101591</v>
      </c>
      <c r="N295" s="56">
        <v>0.1449377050093669</v>
      </c>
      <c r="O295" s="56">
        <v>9.6924567253645941E-2</v>
      </c>
      <c r="P295" s="56">
        <v>8.0867161585847419E-2</v>
      </c>
      <c r="Q295" s="56">
        <v>0.10978723404255318</v>
      </c>
      <c r="R295" s="56">
        <v>3.1059673520578722E-2</v>
      </c>
      <c r="S295" s="56">
        <v>8.65296192962281E-2</v>
      </c>
      <c r="T295" s="56">
        <v>7.7084742943758056E-2</v>
      </c>
      <c r="U295" s="56">
        <v>8.8713725174115479E-2</v>
      </c>
      <c r="V295" s="56">
        <v>8.2638347391378222E-2</v>
      </c>
      <c r="W295" s="56">
        <v>3.673089067047397E-2</v>
      </c>
      <c r="X295" s="56">
        <v>8.61310702080091E-2</v>
      </c>
      <c r="Y295" s="56">
        <v>8.9617074329855884E-2</v>
      </c>
      <c r="AA295" s="56">
        <v>0.10001539416798347</v>
      </c>
      <c r="AB295" s="57"/>
      <c r="AD295" s="56">
        <v>0.10202396093293484</v>
      </c>
      <c r="AE295" s="57"/>
    </row>
    <row r="296" spans="1:33" ht="6.95" customHeight="1" x14ac:dyDescent="0.2">
      <c r="C296" s="4"/>
      <c r="D296" s="4"/>
      <c r="F296" s="96"/>
      <c r="H296" s="16"/>
      <c r="I296" s="16"/>
      <c r="J296" s="16"/>
      <c r="K296" s="85"/>
      <c r="L296" s="85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AA296" s="16"/>
      <c r="AB296" s="20"/>
      <c r="AD296" s="16"/>
      <c r="AE296" s="20"/>
    </row>
    <row r="297" spans="1:33" s="40" customFormat="1" ht="18" customHeight="1" x14ac:dyDescent="0.2">
      <c r="A297" s="35"/>
      <c r="B297" s="35"/>
      <c r="C297" s="4">
        <v>0.18628250208739525</v>
      </c>
      <c r="D297" s="4">
        <v>0.12872797413468184</v>
      </c>
      <c r="E297" s="8"/>
      <c r="F297" s="101" t="s">
        <v>23</v>
      </c>
      <c r="G297" s="8"/>
      <c r="H297" s="77">
        <v>908.55500000000075</v>
      </c>
      <c r="I297" s="77">
        <v>1570.4580000000014</v>
      </c>
      <c r="J297" s="77">
        <v>1570.4580000000014</v>
      </c>
      <c r="K297" s="114">
        <v>1272.2075200000004</v>
      </c>
      <c r="L297" s="114">
        <v>1337.0831100000005</v>
      </c>
      <c r="M297" s="77">
        <v>71.655999999999977</v>
      </c>
      <c r="N297" s="77">
        <v>83.646999999999892</v>
      </c>
      <c r="O297" s="77">
        <v>85.975000000000009</v>
      </c>
      <c r="P297" s="77">
        <v>178.07499999999987</v>
      </c>
      <c r="Q297" s="77">
        <v>160.3520000000002</v>
      </c>
      <c r="R297" s="77">
        <v>133.86999999999978</v>
      </c>
      <c r="S297" s="77">
        <v>64.777000000000385</v>
      </c>
      <c r="T297" s="77">
        <v>168.99399999999943</v>
      </c>
      <c r="U297" s="77">
        <v>125.9439999999999</v>
      </c>
      <c r="V297" s="77">
        <v>120.79200000000051</v>
      </c>
      <c r="W297" s="77">
        <v>165.16099999999932</v>
      </c>
      <c r="X297" s="77">
        <v>149.95900000000077</v>
      </c>
      <c r="Y297" s="77">
        <v>1509.2020000000011</v>
      </c>
      <c r="Z297" s="8"/>
      <c r="AA297" s="77">
        <v>1272.2075200000004</v>
      </c>
      <c r="AB297" s="60">
        <v>236.99</v>
      </c>
      <c r="AC297" s="8"/>
      <c r="AD297" s="77">
        <v>1337.0831100000005</v>
      </c>
      <c r="AE297" s="60">
        <v>172.12</v>
      </c>
    </row>
    <row r="298" spans="1:33" ht="12.95" customHeight="1" x14ac:dyDescent="0.2">
      <c r="A298" s="35"/>
      <c r="B298" s="35"/>
      <c r="C298" s="4"/>
      <c r="D298" s="4"/>
      <c r="F298" s="39" t="s">
        <v>223</v>
      </c>
      <c r="H298" s="56">
        <v>0.13423554052352987</v>
      </c>
      <c r="I298" s="56">
        <v>0.22999529306182101</v>
      </c>
      <c r="J298" s="56">
        <v>0.22999529306182101</v>
      </c>
      <c r="K298" s="109">
        <v>0.19862653420604429</v>
      </c>
      <c r="L298" s="109">
        <v>0.20929862239349803</v>
      </c>
      <c r="M298" s="56">
        <v>0.13726834912473607</v>
      </c>
      <c r="N298" s="56">
        <v>0.14563412748709861</v>
      </c>
      <c r="O298" s="56">
        <v>0.16298485506243568</v>
      </c>
      <c r="P298" s="56">
        <v>0.28127468014531654</v>
      </c>
      <c r="Q298" s="56">
        <v>0.29796896775991855</v>
      </c>
      <c r="R298" s="56">
        <v>0.23916931229219823</v>
      </c>
      <c r="S298" s="56">
        <v>0.12647237413190277</v>
      </c>
      <c r="T298" s="56">
        <v>0.31939535745200309</v>
      </c>
      <c r="U298" s="56">
        <v>0.23070807580847835</v>
      </c>
      <c r="V298" s="56">
        <v>0.23905669264535398</v>
      </c>
      <c r="W298" s="56">
        <v>0.2834155867332922</v>
      </c>
      <c r="X298" s="56">
        <v>0.2561199515630162</v>
      </c>
      <c r="Y298" s="56">
        <v>0.22812803449789543</v>
      </c>
      <c r="AA298" s="56">
        <v>0.19862653420604429</v>
      </c>
      <c r="AB298" s="57"/>
      <c r="AD298" s="56">
        <v>0.20929862239349803</v>
      </c>
      <c r="AE298" s="57"/>
    </row>
    <row r="299" spans="1:33" s="11" customFormat="1" ht="6.75" customHeight="1" x14ac:dyDescent="0.2">
      <c r="A299" s="8"/>
      <c r="B299" s="8"/>
      <c r="C299" s="8"/>
      <c r="D299" s="8"/>
      <c r="AF299" s="8"/>
      <c r="AG299" s="8"/>
    </row>
    <row r="300" spans="1:33" s="11" customFormat="1" ht="18" customHeight="1" x14ac:dyDescent="0.2">
      <c r="A300" s="276" t="s">
        <v>92</v>
      </c>
      <c r="B300" s="276" t="s">
        <v>17</v>
      </c>
      <c r="C300" s="253"/>
      <c r="D300" s="253"/>
      <c r="F300" s="101" t="s">
        <v>455</v>
      </c>
      <c r="G300" s="253"/>
      <c r="H300" s="77">
        <v>-12.964</v>
      </c>
      <c r="I300" s="77">
        <v>-12.284000000000001</v>
      </c>
      <c r="J300" s="77">
        <v>-12.284000000000001</v>
      </c>
      <c r="K300" s="114">
        <v>-7.3959999999999999</v>
      </c>
      <c r="L300" s="114">
        <v>-7.7080000000000002</v>
      </c>
      <c r="M300" s="77">
        <v>-0.996</v>
      </c>
      <c r="N300" s="77">
        <v>-0.879</v>
      </c>
      <c r="O300" s="77">
        <v>-0.93800000000000017</v>
      </c>
      <c r="P300" s="77">
        <v>-0.68599999999999994</v>
      </c>
      <c r="Q300" s="77">
        <v>-0.55299999999999949</v>
      </c>
      <c r="R300" s="77">
        <v>-0.60200000000000031</v>
      </c>
      <c r="S300" s="77">
        <v>-0.56700000000000017</v>
      </c>
      <c r="T300" s="77">
        <v>-0.59600000000000009</v>
      </c>
      <c r="U300" s="77">
        <v>-0.61399999999999988</v>
      </c>
      <c r="V300" s="77">
        <v>-0.48599999999999977</v>
      </c>
      <c r="W300" s="77">
        <v>-0.47500000000000053</v>
      </c>
      <c r="X300" s="77">
        <v>-0.47699999999999942</v>
      </c>
      <c r="Y300" s="77">
        <v>-7.8689999999999998</v>
      </c>
      <c r="Z300" s="253"/>
      <c r="AA300" s="77">
        <v>-7.3959999999999999</v>
      </c>
      <c r="AB300" s="256">
        <v>-0.47</v>
      </c>
      <c r="AD300" s="77">
        <v>-7.7080000000000011</v>
      </c>
      <c r="AE300" s="256">
        <v>-0.16</v>
      </c>
      <c r="AF300" s="253"/>
      <c r="AG300" s="253"/>
    </row>
    <row r="301" spans="1:33" s="11" customFormat="1" ht="6.75" customHeight="1" x14ac:dyDescent="0.2">
      <c r="A301" s="253"/>
      <c r="B301" s="253"/>
      <c r="C301" s="253"/>
      <c r="D301" s="253"/>
      <c r="AF301" s="253"/>
      <c r="AG301" s="253"/>
    </row>
    <row r="302" spans="1:33" s="11" customFormat="1" ht="18" customHeight="1" x14ac:dyDescent="0.2">
      <c r="A302" s="276" t="s">
        <v>457</v>
      </c>
      <c r="B302" s="276" t="s">
        <v>17</v>
      </c>
      <c r="C302" s="253"/>
      <c r="D302" s="253"/>
      <c r="F302" s="101" t="s">
        <v>456</v>
      </c>
      <c r="G302" s="253"/>
      <c r="H302" s="77">
        <v>921.51900000000103</v>
      </c>
      <c r="I302" s="77">
        <v>1582.8720000000001</v>
      </c>
      <c r="J302" s="77">
        <v>1582.8720000000001</v>
      </c>
      <c r="K302" s="114">
        <v>1279.6035199999999</v>
      </c>
      <c r="L302" s="114">
        <v>1344.7911099999999</v>
      </c>
      <c r="M302" s="77">
        <v>72.652000000000001</v>
      </c>
      <c r="N302" s="77">
        <v>84.525999999999996</v>
      </c>
      <c r="O302" s="77">
        <v>86.913000000000011</v>
      </c>
      <c r="P302" s="77">
        <v>178.76099999999997</v>
      </c>
      <c r="Q302" s="77">
        <v>160.90499999999997</v>
      </c>
      <c r="R302" s="77">
        <v>134.47200000000009</v>
      </c>
      <c r="S302" s="77">
        <v>65.343999999999937</v>
      </c>
      <c r="T302" s="77">
        <v>169.59000000000106</v>
      </c>
      <c r="U302" s="77">
        <v>126.55799999999897</v>
      </c>
      <c r="V302" s="77">
        <v>121.72000000000003</v>
      </c>
      <c r="W302" s="77">
        <v>165.63599999999997</v>
      </c>
      <c r="X302" s="77">
        <v>150.43599999999992</v>
      </c>
      <c r="Y302" s="77">
        <v>1517.5129999999999</v>
      </c>
      <c r="Z302" s="253"/>
      <c r="AA302" s="77">
        <v>1279.6035199999999</v>
      </c>
      <c r="AB302" s="256">
        <v>237.91</v>
      </c>
      <c r="AD302" s="77">
        <v>1344.7911099999999</v>
      </c>
      <c r="AE302" s="256">
        <v>172.72</v>
      </c>
      <c r="AF302" s="253"/>
      <c r="AG302" s="253"/>
    </row>
    <row r="303" spans="1:33" s="11" customFormat="1" x14ac:dyDescent="0.2">
      <c r="A303" s="253"/>
      <c r="B303" s="253"/>
      <c r="C303" s="253"/>
      <c r="D303" s="253"/>
      <c r="AF303" s="253"/>
      <c r="AG303" s="253"/>
    </row>
    <row r="304" spans="1:33" s="11" customFormat="1" x14ac:dyDescent="0.2">
      <c r="A304" s="8"/>
      <c r="B304" s="8"/>
      <c r="C304" s="8"/>
      <c r="D304" s="8"/>
      <c r="AF304" s="8"/>
      <c r="AG304" s="8"/>
    </row>
    <row r="305" spans="1:33" s="11" customFormat="1" x14ac:dyDescent="0.2">
      <c r="A305" s="8"/>
      <c r="B305" s="8"/>
      <c r="C305" s="8"/>
      <c r="D305" s="8"/>
      <c r="AF305" s="8"/>
      <c r="AG305" s="8"/>
    </row>
    <row r="306" spans="1:33" s="11" customFormat="1" x14ac:dyDescent="0.2">
      <c r="A306" s="8"/>
      <c r="B306" s="8"/>
      <c r="C306" s="8"/>
      <c r="D306" s="8"/>
      <c r="AF306" s="8"/>
      <c r="AG306" s="8"/>
    </row>
    <row r="307" spans="1:33" s="11" customFormat="1" x14ac:dyDescent="0.2">
      <c r="A307" s="8"/>
      <c r="B307" s="8"/>
      <c r="C307" s="8"/>
      <c r="D307" s="8"/>
      <c r="AF307" s="8"/>
      <c r="AG307" s="8"/>
    </row>
    <row r="308" spans="1:33" s="11" customFormat="1" x14ac:dyDescent="0.2">
      <c r="A308" s="8"/>
      <c r="B308" s="8"/>
      <c r="C308" s="8"/>
      <c r="D308" s="8"/>
      <c r="AF308" s="8"/>
      <c r="AG308" s="8"/>
    </row>
    <row r="309" spans="1:33" s="11" customFormat="1" x14ac:dyDescent="0.2">
      <c r="A309" s="8"/>
      <c r="B309" s="8"/>
      <c r="C309" s="8"/>
      <c r="D309" s="8"/>
      <c r="AF309" s="8"/>
      <c r="AG309" s="8"/>
    </row>
    <row r="310" spans="1:33" s="11" customFormat="1" x14ac:dyDescent="0.2">
      <c r="A310" s="8"/>
      <c r="B310" s="8"/>
      <c r="C310" s="8"/>
      <c r="D310" s="8"/>
      <c r="AF310" s="8"/>
      <c r="AG310" s="8"/>
    </row>
    <row r="311" spans="1:33" s="11" customFormat="1" x14ac:dyDescent="0.2">
      <c r="A311" s="8"/>
      <c r="B311" s="8"/>
      <c r="C311" s="8"/>
      <c r="D311" s="8"/>
      <c r="AF311" s="8"/>
      <c r="AG311" s="8"/>
    </row>
    <row r="312" spans="1:33" s="11" customFormat="1" x14ac:dyDescent="0.2">
      <c r="A312" s="8"/>
      <c r="B312" s="8"/>
      <c r="C312" s="8"/>
      <c r="D312" s="8"/>
      <c r="AF312" s="8"/>
      <c r="AG312" s="8"/>
    </row>
    <row r="313" spans="1:33" s="11" customFormat="1" x14ac:dyDescent="0.2">
      <c r="A313" s="8"/>
      <c r="B313" s="8"/>
      <c r="C313" s="8"/>
      <c r="D313" s="8"/>
      <c r="AF313" s="8"/>
      <c r="AG313" s="8"/>
    </row>
    <row r="314" spans="1:33" s="11" customFormat="1" x14ac:dyDescent="0.2">
      <c r="A314" s="8"/>
      <c r="B314" s="8"/>
      <c r="C314" s="8"/>
      <c r="D314" s="8"/>
      <c r="AF314" s="8"/>
      <c r="AG314" s="8"/>
    </row>
    <row r="315" spans="1:33" s="11" customFormat="1" x14ac:dyDescent="0.2">
      <c r="A315" s="8"/>
      <c r="B315" s="8"/>
      <c r="C315" s="8"/>
      <c r="D315" s="8"/>
      <c r="AF315" s="8"/>
      <c r="AG315" s="8"/>
    </row>
    <row r="316" spans="1:33" s="11" customFormat="1" x14ac:dyDescent="0.2">
      <c r="A316" s="8"/>
      <c r="B316" s="8"/>
      <c r="C316" s="8"/>
      <c r="D316" s="8"/>
      <c r="AF316" s="8"/>
      <c r="AG316" s="8"/>
    </row>
    <row r="317" spans="1:33" s="11" customFormat="1" x14ac:dyDescent="0.2">
      <c r="A317" s="8"/>
      <c r="B317" s="8"/>
      <c r="C317" s="8"/>
      <c r="D317" s="8"/>
      <c r="AF317" s="8"/>
      <c r="AG317" s="8"/>
    </row>
    <row r="318" spans="1:33" s="11" customFormat="1" x14ac:dyDescent="0.2">
      <c r="A318" s="8"/>
      <c r="B318" s="8"/>
      <c r="C318" s="8"/>
      <c r="D318" s="8"/>
      <c r="AF318" s="8"/>
      <c r="AG318" s="8"/>
    </row>
    <row r="319" spans="1:33" s="11" customFormat="1" x14ac:dyDescent="0.2">
      <c r="A319" s="8"/>
      <c r="B319" s="8"/>
      <c r="C319" s="8"/>
      <c r="D319" s="8"/>
      <c r="AF319" s="8"/>
      <c r="AG319" s="8"/>
    </row>
    <row r="320" spans="1:33" s="11" customFormat="1" x14ac:dyDescent="0.2">
      <c r="A320" s="8"/>
      <c r="B320" s="8"/>
      <c r="C320" s="8"/>
      <c r="D320" s="8"/>
      <c r="AF320" s="8"/>
      <c r="AG320" s="8"/>
    </row>
    <row r="321" spans="1:33" s="11" customFormat="1" x14ac:dyDescent="0.2">
      <c r="A321" s="8"/>
      <c r="B321" s="8"/>
      <c r="C321" s="8"/>
      <c r="D321" s="8"/>
      <c r="AF321" s="8"/>
      <c r="AG321" s="8"/>
    </row>
    <row r="322" spans="1:33" s="11" customFormat="1" x14ac:dyDescent="0.2">
      <c r="A322" s="8"/>
      <c r="B322" s="8"/>
      <c r="C322" s="8"/>
      <c r="D322" s="8"/>
      <c r="AF322" s="8"/>
      <c r="AG322" s="8"/>
    </row>
    <row r="323" spans="1:33" s="11" customFormat="1" x14ac:dyDescent="0.2">
      <c r="A323" s="8"/>
      <c r="B323" s="8"/>
      <c r="C323" s="8"/>
      <c r="D323" s="8"/>
      <c r="AF323" s="8"/>
      <c r="AG323" s="8"/>
    </row>
    <row r="324" spans="1:33" s="11" customFormat="1" x14ac:dyDescent="0.2">
      <c r="A324" s="8"/>
      <c r="B324" s="8"/>
      <c r="C324" s="8"/>
      <c r="D324" s="8"/>
      <c r="AF324" s="8"/>
      <c r="AG324" s="8"/>
    </row>
    <row r="325" spans="1:33" s="11" customFormat="1" x14ac:dyDescent="0.2">
      <c r="A325" s="8"/>
      <c r="B325" s="8"/>
      <c r="C325" s="8"/>
      <c r="D325" s="8"/>
      <c r="AF325" s="8"/>
      <c r="AG325" s="8"/>
    </row>
    <row r="326" spans="1:33" s="11" customFormat="1" x14ac:dyDescent="0.2">
      <c r="A326" s="8"/>
      <c r="B326" s="8"/>
      <c r="C326" s="8"/>
      <c r="D326" s="8"/>
      <c r="AF326" s="8"/>
      <c r="AG326" s="8"/>
    </row>
    <row r="327" spans="1:33" s="11" customFormat="1" x14ac:dyDescent="0.2">
      <c r="A327" s="8"/>
      <c r="B327" s="8"/>
      <c r="C327" s="8"/>
      <c r="D327" s="8"/>
      <c r="AF327" s="8"/>
      <c r="AG327" s="8"/>
    </row>
    <row r="328" spans="1:33" s="11" customFormat="1" x14ac:dyDescent="0.2">
      <c r="A328" s="8"/>
      <c r="B328" s="8"/>
      <c r="C328" s="8"/>
      <c r="D328" s="8"/>
      <c r="AF328" s="8"/>
      <c r="AG328" s="8"/>
    </row>
    <row r="329" spans="1:33" s="11" customFormat="1" x14ac:dyDescent="0.2">
      <c r="A329" s="8"/>
      <c r="B329" s="8"/>
      <c r="C329" s="8"/>
      <c r="D329" s="8"/>
      <c r="AF329" s="8"/>
      <c r="AG329" s="8"/>
    </row>
    <row r="330" spans="1:33" s="11" customFormat="1" x14ac:dyDescent="0.2">
      <c r="A330" s="8"/>
      <c r="B330" s="8"/>
      <c r="C330" s="8"/>
      <c r="D330" s="8"/>
      <c r="AF330" s="8"/>
      <c r="AG330" s="8"/>
    </row>
    <row r="331" spans="1:33" s="11" customFormat="1" x14ac:dyDescent="0.2">
      <c r="A331" s="8"/>
      <c r="B331" s="8"/>
      <c r="C331" s="8"/>
      <c r="D331" s="8"/>
      <c r="AF331" s="8"/>
      <c r="AG331" s="8"/>
    </row>
    <row r="332" spans="1:33" s="11" customFormat="1" x14ac:dyDescent="0.2">
      <c r="A332" s="8"/>
      <c r="B332" s="8"/>
      <c r="C332" s="8"/>
      <c r="D332" s="8"/>
      <c r="AF332" s="8"/>
      <c r="AG332" s="8"/>
    </row>
    <row r="333" spans="1:33" s="11" customFormat="1" x14ac:dyDescent="0.2">
      <c r="A333" s="8"/>
      <c r="B333" s="8"/>
      <c r="C333" s="8"/>
      <c r="D333" s="8"/>
      <c r="AF333" s="8"/>
      <c r="AG333" s="8"/>
    </row>
    <row r="334" spans="1:33" s="11" customFormat="1" x14ac:dyDescent="0.2">
      <c r="A334" s="8"/>
      <c r="B334" s="8"/>
      <c r="C334" s="8"/>
      <c r="D334" s="8"/>
      <c r="AF334" s="8"/>
      <c r="AG334" s="8"/>
    </row>
    <row r="335" spans="1:33" s="11" customFormat="1" x14ac:dyDescent="0.2">
      <c r="A335" s="8"/>
      <c r="B335" s="8"/>
      <c r="C335" s="8"/>
      <c r="D335" s="8"/>
      <c r="AF335" s="8"/>
      <c r="AG335" s="8"/>
    </row>
    <row r="336" spans="1:33" s="11" customFormat="1" x14ac:dyDescent="0.2">
      <c r="A336" s="8"/>
      <c r="B336" s="8"/>
      <c r="C336" s="8"/>
      <c r="D336" s="8"/>
      <c r="AF336" s="8"/>
      <c r="AG336" s="8"/>
    </row>
    <row r="337" spans="1:33" s="11" customFormat="1" x14ac:dyDescent="0.2">
      <c r="A337" s="8"/>
      <c r="B337" s="8"/>
      <c r="C337" s="8"/>
      <c r="D337" s="8"/>
      <c r="AF337" s="8"/>
      <c r="AG337" s="8"/>
    </row>
    <row r="338" spans="1:33" s="11" customFormat="1" x14ac:dyDescent="0.2">
      <c r="A338" s="8"/>
      <c r="B338" s="8"/>
      <c r="C338" s="8"/>
      <c r="D338" s="8"/>
      <c r="AF338" s="8"/>
      <c r="AG338" s="8"/>
    </row>
    <row r="339" spans="1:33" s="11" customFormat="1" x14ac:dyDescent="0.2">
      <c r="A339" s="8"/>
      <c r="B339" s="8"/>
      <c r="C339" s="8"/>
      <c r="D339" s="8"/>
      <c r="AF339" s="8"/>
      <c r="AG339" s="8"/>
    </row>
    <row r="340" spans="1:33" s="11" customFormat="1" x14ac:dyDescent="0.2">
      <c r="A340" s="8"/>
      <c r="B340" s="8"/>
      <c r="C340" s="8"/>
      <c r="D340" s="8"/>
      <c r="AF340" s="8"/>
      <c r="AG340" s="8"/>
    </row>
    <row r="341" spans="1:33" s="11" customFormat="1" x14ac:dyDescent="0.2">
      <c r="A341" s="8"/>
      <c r="B341" s="8"/>
      <c r="C341" s="8"/>
      <c r="D341" s="8"/>
      <c r="AF341" s="8"/>
      <c r="AG341" s="8"/>
    </row>
    <row r="342" spans="1:33" s="11" customFormat="1" x14ac:dyDescent="0.2">
      <c r="A342" s="8"/>
      <c r="B342" s="8"/>
      <c r="C342" s="8"/>
      <c r="D342" s="8"/>
      <c r="AF342" s="8"/>
      <c r="AG342" s="8"/>
    </row>
    <row r="343" spans="1:33" s="11" customFormat="1" x14ac:dyDescent="0.2">
      <c r="A343" s="8"/>
      <c r="B343" s="8"/>
      <c r="C343" s="8"/>
      <c r="D343" s="8"/>
      <c r="AF343" s="8"/>
      <c r="AG343" s="8"/>
    </row>
    <row r="344" spans="1:33" s="11" customFormat="1" x14ac:dyDescent="0.2">
      <c r="A344" s="8"/>
      <c r="B344" s="8"/>
      <c r="C344" s="8"/>
      <c r="D344" s="8"/>
      <c r="AF344" s="8"/>
      <c r="AG344" s="8"/>
    </row>
    <row r="345" spans="1:33" s="11" customFormat="1" x14ac:dyDescent="0.2">
      <c r="A345" s="8"/>
      <c r="B345" s="8"/>
      <c r="C345" s="8"/>
      <c r="D345" s="8"/>
      <c r="AF345" s="8"/>
      <c r="AG345" s="8"/>
    </row>
    <row r="346" spans="1:33" s="11" customFormat="1" x14ac:dyDescent="0.2">
      <c r="A346" s="8"/>
      <c r="B346" s="8"/>
      <c r="C346" s="8"/>
      <c r="D346" s="8"/>
      <c r="AF346" s="8"/>
      <c r="AG346" s="8"/>
    </row>
    <row r="347" spans="1:33" s="11" customFormat="1" x14ac:dyDescent="0.2">
      <c r="A347" s="8"/>
      <c r="B347" s="8"/>
      <c r="C347" s="8"/>
      <c r="D347" s="8"/>
      <c r="AF347" s="8"/>
      <c r="AG347" s="8"/>
    </row>
    <row r="350" spans="1:33" ht="18" customHeight="1" x14ac:dyDescent="0.2">
      <c r="A350" s="30" t="s">
        <v>287</v>
      </c>
      <c r="B350" s="30" t="s">
        <v>17</v>
      </c>
      <c r="C350" s="4">
        <v>0</v>
      </c>
      <c r="D350" s="4">
        <v>0</v>
      </c>
      <c r="F350" s="106" t="s">
        <v>288</v>
      </c>
      <c r="H350" s="61">
        <v>0</v>
      </c>
      <c r="I350" s="61">
        <v>0</v>
      </c>
      <c r="J350" s="61">
        <v>0</v>
      </c>
      <c r="K350" s="86">
        <v>0</v>
      </c>
      <c r="L350" s="86">
        <v>0</v>
      </c>
      <c r="M350" s="61">
        <v>0</v>
      </c>
      <c r="N350" s="61">
        <v>0</v>
      </c>
      <c r="O350" s="61">
        <v>0</v>
      </c>
      <c r="P350" s="61">
        <v>0</v>
      </c>
      <c r="Q350" s="61">
        <v>0</v>
      </c>
      <c r="R350" s="61">
        <v>0</v>
      </c>
      <c r="S350" s="61">
        <v>0</v>
      </c>
      <c r="T350" s="61">
        <v>0</v>
      </c>
      <c r="U350" s="61">
        <v>0</v>
      </c>
      <c r="V350" s="61">
        <v>0</v>
      </c>
      <c r="W350" s="61">
        <v>0</v>
      </c>
      <c r="X350" s="61">
        <v>0</v>
      </c>
      <c r="Y350" s="61">
        <v>0</v>
      </c>
      <c r="AA350" s="61">
        <v>0</v>
      </c>
      <c r="AB350" s="20"/>
      <c r="AD350" s="61">
        <v>0</v>
      </c>
      <c r="AE350" s="20"/>
    </row>
    <row r="351" spans="1:33" ht="18" hidden="1" customHeight="1" outlineLevel="1" x14ac:dyDescent="0.2">
      <c r="A351" s="30" t="s">
        <v>291</v>
      </c>
      <c r="B351" s="30" t="s">
        <v>17</v>
      </c>
      <c r="C351" s="4">
        <v>0</v>
      </c>
      <c r="D351" s="4">
        <v>0</v>
      </c>
      <c r="F351" s="106" t="s">
        <v>290</v>
      </c>
      <c r="H351" s="61">
        <v>529.53899999999999</v>
      </c>
      <c r="I351" s="61">
        <v>574.35199999999998</v>
      </c>
      <c r="J351" s="61">
        <v>574.35199999999998</v>
      </c>
      <c r="K351" s="86">
        <v>562.08500000000004</v>
      </c>
      <c r="L351" s="86">
        <v>406.58600000000001</v>
      </c>
      <c r="M351" s="61">
        <v>52.844999999999999</v>
      </c>
      <c r="N351" s="61">
        <v>86.765000000000001</v>
      </c>
      <c r="O351" s="61">
        <v>142.577</v>
      </c>
      <c r="P351" s="61">
        <v>169.77600000000001</v>
      </c>
      <c r="Q351" s="61">
        <v>215.273</v>
      </c>
      <c r="R351" s="61">
        <v>266.07400000000001</v>
      </c>
      <c r="S351" s="61">
        <v>296.71300000000002</v>
      </c>
      <c r="T351" s="61">
        <v>320.47000000000003</v>
      </c>
      <c r="U351" s="61">
        <v>354.05</v>
      </c>
      <c r="V351" s="61">
        <v>390.6</v>
      </c>
      <c r="W351" s="61">
        <v>431.524</v>
      </c>
      <c r="X351" s="61">
        <v>460.387</v>
      </c>
      <c r="Y351" s="61">
        <v>460.387</v>
      </c>
      <c r="AA351" s="61">
        <v>562.08500000000004</v>
      </c>
      <c r="AB351" s="20"/>
      <c r="AD351" s="61">
        <v>406.58600000000001</v>
      </c>
      <c r="AE351" s="20"/>
    </row>
    <row r="352" spans="1:33" ht="18" customHeight="1" collapsed="1" x14ac:dyDescent="0.2">
      <c r="A352" s="30" t="s">
        <v>287</v>
      </c>
      <c r="B352" s="30" t="s">
        <v>17</v>
      </c>
      <c r="C352" s="4">
        <v>0</v>
      </c>
      <c r="D352" s="4">
        <v>0</v>
      </c>
      <c r="F352" s="107" t="s">
        <v>289</v>
      </c>
      <c r="H352" s="78">
        <v>0</v>
      </c>
      <c r="I352" s="78">
        <v>0</v>
      </c>
      <c r="J352" s="78">
        <v>0</v>
      </c>
      <c r="K352" s="87">
        <v>0</v>
      </c>
      <c r="L352" s="87">
        <v>0</v>
      </c>
      <c r="M352" s="78">
        <v>0</v>
      </c>
      <c r="N352" s="78">
        <v>0</v>
      </c>
      <c r="O352" s="78">
        <v>0</v>
      </c>
      <c r="P352" s="78">
        <v>0</v>
      </c>
      <c r="Q352" s="78">
        <v>0</v>
      </c>
      <c r="R352" s="78">
        <v>0</v>
      </c>
      <c r="S352" s="78">
        <v>0</v>
      </c>
      <c r="T352" s="78">
        <v>0</v>
      </c>
      <c r="U352" s="78">
        <v>0</v>
      </c>
      <c r="V352" s="78">
        <v>0</v>
      </c>
      <c r="W352" s="78">
        <v>0</v>
      </c>
      <c r="X352" s="78">
        <v>0</v>
      </c>
      <c r="Y352" s="78">
        <v>0</v>
      </c>
      <c r="AA352" s="78">
        <v>0</v>
      </c>
      <c r="AB352" s="20"/>
      <c r="AD352" s="78">
        <v>0</v>
      </c>
      <c r="AE352" s="20"/>
    </row>
    <row r="353" spans="1:31" ht="15" x14ac:dyDescent="0.2">
      <c r="A353" s="4"/>
      <c r="B353" s="4"/>
      <c r="C353" s="4"/>
      <c r="D353" s="4"/>
      <c r="F353" s="96"/>
      <c r="H353" s="16"/>
      <c r="I353" s="16"/>
      <c r="J353" s="16"/>
      <c r="K353" s="85"/>
      <c r="L353" s="85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AA353" s="16"/>
      <c r="AB353" s="20"/>
      <c r="AD353" s="16"/>
      <c r="AE353" s="20"/>
    </row>
    <row r="354" spans="1:31" ht="18" customHeight="1" x14ac:dyDescent="0.2">
      <c r="A354" s="30" t="s">
        <v>293</v>
      </c>
      <c r="B354" s="30" t="s">
        <v>17</v>
      </c>
      <c r="C354" s="4">
        <v>0</v>
      </c>
      <c r="D354" s="4">
        <v>0</v>
      </c>
      <c r="F354" s="106" t="s">
        <v>357</v>
      </c>
      <c r="H354" s="61">
        <v>0</v>
      </c>
      <c r="I354" s="61">
        <v>0</v>
      </c>
      <c r="J354" s="61">
        <v>0</v>
      </c>
      <c r="K354" s="88"/>
      <c r="L354" s="88"/>
      <c r="M354" s="61">
        <v>0</v>
      </c>
      <c r="N354" s="61">
        <v>0</v>
      </c>
      <c r="O354" s="61">
        <v>0</v>
      </c>
      <c r="P354" s="61">
        <v>0</v>
      </c>
      <c r="Q354" s="61">
        <v>0</v>
      </c>
      <c r="R354" s="61">
        <v>0</v>
      </c>
      <c r="S354" s="61">
        <v>0</v>
      </c>
      <c r="T354" s="61">
        <v>0</v>
      </c>
      <c r="U354" s="61">
        <v>0</v>
      </c>
      <c r="V354" s="61">
        <v>0</v>
      </c>
      <c r="W354" s="61">
        <v>0</v>
      </c>
      <c r="X354" s="61">
        <v>0</v>
      </c>
      <c r="Y354" s="61">
        <v>0</v>
      </c>
      <c r="AA354" s="16"/>
      <c r="AB354" s="20"/>
      <c r="AD354" s="16"/>
      <c r="AE354" s="20"/>
    </row>
    <row r="355" spans="1:31" ht="18" customHeight="1" x14ac:dyDescent="0.2">
      <c r="A355" s="30" t="s">
        <v>294</v>
      </c>
      <c r="B355" s="30" t="s">
        <v>17</v>
      </c>
      <c r="C355" s="4">
        <v>0</v>
      </c>
      <c r="D355" s="4">
        <v>0</v>
      </c>
      <c r="F355" s="106" t="s">
        <v>358</v>
      </c>
      <c r="H355" s="61">
        <v>0</v>
      </c>
      <c r="I355" s="61">
        <v>0</v>
      </c>
      <c r="J355" s="61">
        <v>0</v>
      </c>
      <c r="K355" s="88"/>
      <c r="L355" s="88"/>
      <c r="M355" s="61">
        <v>0</v>
      </c>
      <c r="N355" s="61">
        <v>0</v>
      </c>
      <c r="O355" s="61">
        <v>0</v>
      </c>
      <c r="P355" s="61">
        <v>0</v>
      </c>
      <c r="Q355" s="61">
        <v>0</v>
      </c>
      <c r="R355" s="61">
        <v>0</v>
      </c>
      <c r="S355" s="61">
        <v>0</v>
      </c>
      <c r="T355" s="61">
        <v>0</v>
      </c>
      <c r="U355" s="61">
        <v>0</v>
      </c>
      <c r="V355" s="61">
        <v>0</v>
      </c>
      <c r="W355" s="61">
        <v>0</v>
      </c>
      <c r="X355" s="61">
        <v>0</v>
      </c>
      <c r="Y355" s="61">
        <v>0</v>
      </c>
      <c r="AA355" s="16"/>
      <c r="AB355" s="20"/>
      <c r="AD355" s="16"/>
      <c r="AE355" s="20"/>
    </row>
    <row r="356" spans="1:31" ht="18" customHeight="1" x14ac:dyDescent="0.2">
      <c r="A356" s="30" t="s">
        <v>295</v>
      </c>
      <c r="B356" s="30" t="s">
        <v>17</v>
      </c>
      <c r="C356" s="4">
        <v>0</v>
      </c>
      <c r="D356" s="4">
        <v>0</v>
      </c>
      <c r="F356" s="106" t="s">
        <v>359</v>
      </c>
      <c r="H356" s="61">
        <v>0</v>
      </c>
      <c r="I356" s="61">
        <v>0</v>
      </c>
      <c r="J356" s="61">
        <v>0</v>
      </c>
      <c r="K356" s="88"/>
      <c r="L356" s="88"/>
      <c r="M356" s="61">
        <v>0</v>
      </c>
      <c r="N356" s="61">
        <v>0</v>
      </c>
      <c r="O356" s="61">
        <v>0</v>
      </c>
      <c r="P356" s="61">
        <v>0</v>
      </c>
      <c r="Q356" s="61">
        <v>0</v>
      </c>
      <c r="R356" s="61">
        <v>0</v>
      </c>
      <c r="S356" s="61">
        <v>0</v>
      </c>
      <c r="T356" s="61">
        <v>0</v>
      </c>
      <c r="U356" s="61">
        <v>0</v>
      </c>
      <c r="V356" s="61">
        <v>0</v>
      </c>
      <c r="W356" s="61">
        <v>0</v>
      </c>
      <c r="X356" s="61">
        <v>0</v>
      </c>
      <c r="Y356" s="61">
        <v>0</v>
      </c>
      <c r="AA356" s="16"/>
      <c r="AB356" s="20"/>
      <c r="AD356" s="16"/>
      <c r="AE356" s="20"/>
    </row>
    <row r="357" spans="1:31" ht="18" customHeight="1" x14ac:dyDescent="0.2">
      <c r="A357" s="30" t="s">
        <v>296</v>
      </c>
      <c r="B357" s="30" t="s">
        <v>17</v>
      </c>
      <c r="C357" s="4">
        <v>0</v>
      </c>
      <c r="D357" s="4">
        <v>0</v>
      </c>
      <c r="F357" s="106" t="s">
        <v>360</v>
      </c>
      <c r="H357" s="61">
        <v>0</v>
      </c>
      <c r="I357" s="61">
        <v>0</v>
      </c>
      <c r="J357" s="61">
        <v>0</v>
      </c>
      <c r="K357" s="88"/>
      <c r="L357" s="88"/>
      <c r="M357" s="61">
        <v>0</v>
      </c>
      <c r="N357" s="61">
        <v>0</v>
      </c>
      <c r="O357" s="61">
        <v>0</v>
      </c>
      <c r="P357" s="61">
        <v>0</v>
      </c>
      <c r="Q357" s="61">
        <v>0</v>
      </c>
      <c r="R357" s="61">
        <v>0</v>
      </c>
      <c r="S357" s="61">
        <v>0</v>
      </c>
      <c r="T357" s="61">
        <v>0</v>
      </c>
      <c r="U357" s="61">
        <v>0</v>
      </c>
      <c r="V357" s="61">
        <v>0</v>
      </c>
      <c r="W357" s="61">
        <v>0</v>
      </c>
      <c r="X357" s="61">
        <v>0</v>
      </c>
      <c r="Y357" s="61">
        <v>0</v>
      </c>
      <c r="AA357" s="16"/>
      <c r="AB357" s="20"/>
      <c r="AD357" s="16"/>
      <c r="AE357" s="20"/>
    </row>
    <row r="358" spans="1:31" ht="18" customHeight="1" x14ac:dyDescent="0.2">
      <c r="A358" s="30" t="s">
        <v>297</v>
      </c>
      <c r="B358" s="30" t="s">
        <v>17</v>
      </c>
      <c r="C358" s="4">
        <v>0</v>
      </c>
      <c r="D358" s="4">
        <v>0</v>
      </c>
      <c r="F358" s="106" t="s">
        <v>361</v>
      </c>
      <c r="H358" s="61">
        <v>0</v>
      </c>
      <c r="I358" s="61">
        <v>0</v>
      </c>
      <c r="J358" s="61">
        <v>0</v>
      </c>
      <c r="K358" s="88"/>
      <c r="L358" s="88"/>
      <c r="M358" s="61">
        <v>0</v>
      </c>
      <c r="N358" s="61">
        <v>0</v>
      </c>
      <c r="O358" s="61">
        <v>0</v>
      </c>
      <c r="P358" s="61">
        <v>0</v>
      </c>
      <c r="Q358" s="61">
        <v>0</v>
      </c>
      <c r="R358" s="61">
        <v>0</v>
      </c>
      <c r="S358" s="61">
        <v>0</v>
      </c>
      <c r="T358" s="61">
        <v>0</v>
      </c>
      <c r="U358" s="61">
        <v>0</v>
      </c>
      <c r="V358" s="61">
        <v>0</v>
      </c>
      <c r="W358" s="61">
        <v>0</v>
      </c>
      <c r="X358" s="61">
        <v>0</v>
      </c>
      <c r="Y358" s="61">
        <v>0</v>
      </c>
      <c r="AA358" s="16"/>
      <c r="AB358" s="20"/>
      <c r="AD358" s="16"/>
      <c r="AE358" s="20"/>
    </row>
    <row r="359" spans="1:31" ht="18" customHeight="1" collapsed="1" x14ac:dyDescent="0.2">
      <c r="A359" s="30" t="s">
        <v>292</v>
      </c>
      <c r="B359" s="30" t="s">
        <v>17</v>
      </c>
      <c r="C359" s="4">
        <v>0</v>
      </c>
      <c r="D359" s="4">
        <v>0</v>
      </c>
      <c r="F359" s="107" t="s">
        <v>362</v>
      </c>
      <c r="H359" s="79">
        <v>0</v>
      </c>
      <c r="I359" s="79">
        <v>0</v>
      </c>
      <c r="J359" s="79">
        <v>0</v>
      </c>
      <c r="K359" s="89"/>
      <c r="L359" s="89"/>
      <c r="M359" s="79">
        <v>0</v>
      </c>
      <c r="N359" s="79">
        <v>0</v>
      </c>
      <c r="O359" s="79">
        <v>0</v>
      </c>
      <c r="P359" s="79">
        <v>0</v>
      </c>
      <c r="Q359" s="79">
        <v>0</v>
      </c>
      <c r="R359" s="79">
        <v>0</v>
      </c>
      <c r="S359" s="79">
        <v>0</v>
      </c>
      <c r="T359" s="79">
        <v>0</v>
      </c>
      <c r="U359" s="79">
        <v>0</v>
      </c>
      <c r="V359" s="79">
        <v>0</v>
      </c>
      <c r="W359" s="79">
        <v>0</v>
      </c>
      <c r="X359" s="79">
        <v>0</v>
      </c>
      <c r="Y359" s="79">
        <v>0</v>
      </c>
      <c r="AA359" s="16"/>
      <c r="AB359" s="20"/>
      <c r="AD359" s="16"/>
      <c r="AE359" s="20"/>
    </row>
    <row r="360" spans="1:31" ht="15" x14ac:dyDescent="0.2">
      <c r="A360" s="4"/>
      <c r="B360" s="4"/>
      <c r="C360" s="4"/>
      <c r="D360" s="4"/>
      <c r="F360" s="96"/>
      <c r="H360" s="16"/>
      <c r="I360" s="16"/>
      <c r="J360" s="16"/>
      <c r="K360" s="85"/>
      <c r="L360" s="85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AA360" s="16"/>
      <c r="AB360" s="20"/>
      <c r="AD360" s="16"/>
      <c r="AE360" s="20"/>
    </row>
    <row r="361" spans="1:31" ht="18" hidden="1" customHeight="1" outlineLevel="1" x14ac:dyDescent="0.2">
      <c r="A361" s="30" t="s">
        <v>112</v>
      </c>
      <c r="B361" s="30" t="s">
        <v>17</v>
      </c>
      <c r="C361" s="4">
        <v>1</v>
      </c>
      <c r="D361" s="4">
        <v>1</v>
      </c>
      <c r="F361" s="50" t="s">
        <v>113</v>
      </c>
      <c r="H361" s="60">
        <v>1</v>
      </c>
      <c r="I361" s="60">
        <v>1</v>
      </c>
      <c r="J361" s="60">
        <v>1</v>
      </c>
      <c r="K361" s="90">
        <v>0</v>
      </c>
      <c r="L361" s="90">
        <v>0</v>
      </c>
      <c r="M361" s="60">
        <v>0</v>
      </c>
      <c r="N361" s="60">
        <v>0</v>
      </c>
      <c r="O361" s="60">
        <v>0</v>
      </c>
      <c r="P361" s="60">
        <v>0</v>
      </c>
      <c r="Q361" s="60">
        <v>1</v>
      </c>
      <c r="R361" s="60">
        <v>0</v>
      </c>
      <c r="S361" s="60">
        <v>0</v>
      </c>
      <c r="T361" s="60">
        <v>0</v>
      </c>
      <c r="U361" s="60">
        <v>0</v>
      </c>
      <c r="V361" s="60">
        <v>0</v>
      </c>
      <c r="W361" s="60">
        <v>0</v>
      </c>
      <c r="X361" s="60">
        <v>0</v>
      </c>
      <c r="Y361" s="60">
        <v>1</v>
      </c>
      <c r="AA361" s="60">
        <v>0</v>
      </c>
      <c r="AB361" s="60">
        <v>1</v>
      </c>
      <c r="AD361" s="60">
        <v>0</v>
      </c>
      <c r="AE361" s="60">
        <v>1</v>
      </c>
    </row>
    <row r="362" spans="1:31" ht="12.95" hidden="1" customHeight="1" outlineLevel="1" x14ac:dyDescent="0.2">
      <c r="A362" s="35"/>
      <c r="B362" s="35"/>
      <c r="C362" s="4"/>
      <c r="D362" s="4"/>
      <c r="F362" s="51" t="s">
        <v>114</v>
      </c>
      <c r="H362" s="80">
        <v>1</v>
      </c>
      <c r="I362" s="80">
        <v>1</v>
      </c>
      <c r="J362" s="80">
        <v>1</v>
      </c>
      <c r="K362" s="91">
        <v>0</v>
      </c>
      <c r="L362" s="91">
        <v>0</v>
      </c>
      <c r="M362" s="80">
        <v>0</v>
      </c>
      <c r="N362" s="80">
        <v>0</v>
      </c>
      <c r="O362" s="80">
        <v>0</v>
      </c>
      <c r="P362" s="80">
        <v>0</v>
      </c>
      <c r="Q362" s="80">
        <v>1</v>
      </c>
      <c r="R362" s="80">
        <v>0</v>
      </c>
      <c r="S362" s="80">
        <v>0</v>
      </c>
      <c r="T362" s="80">
        <v>0</v>
      </c>
      <c r="U362" s="80">
        <v>0</v>
      </c>
      <c r="V362" s="80">
        <v>0</v>
      </c>
      <c r="W362" s="80">
        <v>0</v>
      </c>
      <c r="X362" s="80">
        <v>0</v>
      </c>
      <c r="Y362" s="80">
        <v>1</v>
      </c>
      <c r="AA362" s="80">
        <v>0</v>
      </c>
      <c r="AB362" s="69"/>
      <c r="AD362" s="80">
        <v>0</v>
      </c>
      <c r="AE362" s="69"/>
    </row>
    <row r="363" spans="1:31" ht="18" hidden="1" customHeight="1" outlineLevel="1" x14ac:dyDescent="0.2">
      <c r="A363" s="33" t="s">
        <v>100</v>
      </c>
      <c r="B363" s="33" t="s">
        <v>17</v>
      </c>
      <c r="C363" s="4"/>
      <c r="D363" s="4"/>
      <c r="F363" s="38" t="s">
        <v>103</v>
      </c>
      <c r="H363" s="66">
        <v>1</v>
      </c>
      <c r="I363" s="66">
        <v>1</v>
      </c>
      <c r="J363" s="66">
        <v>1</v>
      </c>
      <c r="K363" s="86">
        <v>0</v>
      </c>
      <c r="L363" s="86">
        <v>0</v>
      </c>
      <c r="M363" s="66">
        <v>1</v>
      </c>
      <c r="N363" s="66">
        <v>1</v>
      </c>
      <c r="O363" s="66">
        <v>1</v>
      </c>
      <c r="P363" s="66">
        <v>1</v>
      </c>
      <c r="Q363" s="66">
        <v>1</v>
      </c>
      <c r="R363" s="66">
        <v>1</v>
      </c>
      <c r="S363" s="66">
        <v>1</v>
      </c>
      <c r="T363" s="66">
        <v>1</v>
      </c>
      <c r="U363" s="66">
        <v>1</v>
      </c>
      <c r="V363" s="66">
        <v>1</v>
      </c>
      <c r="W363" s="66">
        <v>1</v>
      </c>
      <c r="X363" s="66">
        <v>1</v>
      </c>
      <c r="Y363" s="66">
        <v>1</v>
      </c>
      <c r="AA363" s="66">
        <v>0</v>
      </c>
      <c r="AB363" s="60">
        <v>1</v>
      </c>
      <c r="AD363" s="66">
        <v>0</v>
      </c>
      <c r="AE363" s="60">
        <v>1</v>
      </c>
    </row>
    <row r="364" spans="1:31" ht="18" hidden="1" customHeight="1" outlineLevel="1" x14ac:dyDescent="0.2">
      <c r="A364" s="33" t="s">
        <v>101</v>
      </c>
      <c r="B364" s="33" t="s">
        <v>102</v>
      </c>
      <c r="C364" s="4"/>
      <c r="D364" s="4"/>
      <c r="F364" s="38" t="s">
        <v>104</v>
      </c>
      <c r="H364" s="66">
        <v>0</v>
      </c>
      <c r="I364" s="66">
        <v>0</v>
      </c>
      <c r="J364" s="66">
        <v>0</v>
      </c>
      <c r="K364" s="86">
        <v>0</v>
      </c>
      <c r="L364" s="86">
        <v>0</v>
      </c>
      <c r="M364" s="66">
        <v>0</v>
      </c>
      <c r="N364" s="66">
        <v>0</v>
      </c>
      <c r="O364" s="66">
        <v>0</v>
      </c>
      <c r="P364" s="66">
        <v>0</v>
      </c>
      <c r="Q364" s="66">
        <v>0</v>
      </c>
      <c r="R364" s="66">
        <v>0</v>
      </c>
      <c r="S364" s="66">
        <v>0</v>
      </c>
      <c r="T364" s="66">
        <v>0</v>
      </c>
      <c r="U364" s="66">
        <v>0</v>
      </c>
      <c r="V364" s="66">
        <v>0</v>
      </c>
      <c r="W364" s="66">
        <v>0</v>
      </c>
      <c r="X364" s="66">
        <v>0</v>
      </c>
      <c r="Y364" s="66">
        <v>0</v>
      </c>
      <c r="AA364" s="66">
        <v>0</v>
      </c>
      <c r="AB364" s="60">
        <v>0</v>
      </c>
      <c r="AD364" s="66">
        <v>0</v>
      </c>
      <c r="AE364" s="60">
        <v>0</v>
      </c>
    </row>
    <row r="365" spans="1:31" ht="18" customHeight="1" collapsed="1" x14ac:dyDescent="0.2">
      <c r="A365" s="32"/>
      <c r="B365" s="32"/>
      <c r="C365" s="4">
        <v>1</v>
      </c>
      <c r="D365" s="4">
        <v>1</v>
      </c>
      <c r="F365" s="107" t="s">
        <v>105</v>
      </c>
      <c r="G365" s="7"/>
      <c r="H365" s="58">
        <v>1</v>
      </c>
      <c r="I365" s="58">
        <v>1</v>
      </c>
      <c r="J365" s="58">
        <v>1</v>
      </c>
      <c r="K365" s="92">
        <v>0</v>
      </c>
      <c r="L365" s="92">
        <v>0</v>
      </c>
      <c r="M365" s="58">
        <v>1</v>
      </c>
      <c r="N365" s="58">
        <v>1</v>
      </c>
      <c r="O365" s="58">
        <v>1</v>
      </c>
      <c r="P365" s="58">
        <v>1</v>
      </c>
      <c r="Q365" s="58">
        <v>1</v>
      </c>
      <c r="R365" s="58">
        <v>1</v>
      </c>
      <c r="S365" s="58">
        <v>1</v>
      </c>
      <c r="T365" s="58">
        <v>1</v>
      </c>
      <c r="U365" s="58">
        <v>1</v>
      </c>
      <c r="V365" s="58">
        <v>1</v>
      </c>
      <c r="W365" s="58">
        <v>1</v>
      </c>
      <c r="X365" s="58">
        <v>1</v>
      </c>
      <c r="Y365" s="58">
        <v>1</v>
      </c>
      <c r="AA365" s="58">
        <v>0</v>
      </c>
      <c r="AB365" s="60">
        <v>1</v>
      </c>
      <c r="AD365" s="58">
        <v>0</v>
      </c>
      <c r="AE365" s="60">
        <v>1</v>
      </c>
    </row>
    <row r="366" spans="1:31" ht="18" customHeight="1" x14ac:dyDescent="0.2">
      <c r="A366" s="32"/>
      <c r="B366" s="32"/>
      <c r="C366" s="4"/>
      <c r="D366" s="4"/>
      <c r="F366" s="191" t="s">
        <v>402</v>
      </c>
      <c r="G366" s="7"/>
      <c r="H366" s="194">
        <v>1</v>
      </c>
      <c r="I366" s="194">
        <v>1</v>
      </c>
      <c r="J366" s="194">
        <v>1</v>
      </c>
      <c r="K366" s="194">
        <v>0</v>
      </c>
      <c r="L366" s="194">
        <v>0</v>
      </c>
      <c r="M366" s="194">
        <v>1</v>
      </c>
      <c r="N366" s="194">
        <v>1</v>
      </c>
      <c r="O366" s="194">
        <v>1</v>
      </c>
      <c r="P366" s="194">
        <v>1</v>
      </c>
      <c r="Q366" s="194">
        <v>1</v>
      </c>
      <c r="R366" s="194">
        <v>1</v>
      </c>
      <c r="S366" s="194">
        <v>1</v>
      </c>
      <c r="T366" s="194">
        <v>1</v>
      </c>
      <c r="U366" s="194">
        <v>1</v>
      </c>
      <c r="V366" s="194">
        <v>1</v>
      </c>
      <c r="W366" s="194">
        <v>1</v>
      </c>
      <c r="X366" s="194">
        <v>1</v>
      </c>
      <c r="Y366" s="194">
        <v>1</v>
      </c>
      <c r="AA366" s="20"/>
      <c r="AB366" s="190"/>
      <c r="AD366" s="190"/>
      <c r="AE366" s="190"/>
    </row>
    <row r="367" spans="1:31" ht="18" hidden="1" customHeight="1" outlineLevel="1" x14ac:dyDescent="0.2">
      <c r="A367" s="192" t="s">
        <v>101</v>
      </c>
      <c r="B367" s="192" t="s">
        <v>403</v>
      </c>
      <c r="C367" s="4"/>
      <c r="D367" s="4"/>
      <c r="F367" s="193" t="s">
        <v>404</v>
      </c>
      <c r="G367" s="7"/>
      <c r="H367" s="66">
        <v>0</v>
      </c>
      <c r="I367" s="66">
        <v>0</v>
      </c>
      <c r="J367" s="66">
        <v>0</v>
      </c>
      <c r="K367" s="86">
        <v>0</v>
      </c>
      <c r="L367" s="86">
        <v>0</v>
      </c>
      <c r="M367" s="66">
        <v>0</v>
      </c>
      <c r="N367" s="66">
        <v>0</v>
      </c>
      <c r="O367" s="66">
        <v>0</v>
      </c>
      <c r="P367" s="66">
        <v>0</v>
      </c>
      <c r="Q367" s="66">
        <v>0</v>
      </c>
      <c r="R367" s="66">
        <v>0</v>
      </c>
      <c r="S367" s="66">
        <v>0</v>
      </c>
      <c r="T367" s="66">
        <v>0</v>
      </c>
      <c r="U367" s="66">
        <v>0</v>
      </c>
      <c r="V367" s="66">
        <v>0</v>
      </c>
      <c r="W367" s="66">
        <v>0</v>
      </c>
      <c r="X367" s="66">
        <v>0</v>
      </c>
      <c r="Y367" s="66">
        <v>0</v>
      </c>
      <c r="AA367" s="20"/>
      <c r="AB367" s="190"/>
      <c r="AD367" s="189"/>
      <c r="AE367" s="190"/>
    </row>
    <row r="368" spans="1:31" ht="18" hidden="1" customHeight="1" outlineLevel="1" x14ac:dyDescent="0.2">
      <c r="A368" s="192" t="s">
        <v>405</v>
      </c>
      <c r="B368" s="192" t="s">
        <v>17</v>
      </c>
      <c r="C368" s="4"/>
      <c r="D368" s="4"/>
      <c r="F368" s="193" t="s">
        <v>406</v>
      </c>
      <c r="G368" s="7"/>
      <c r="H368" s="66">
        <v>0</v>
      </c>
      <c r="I368" s="66">
        <v>0</v>
      </c>
      <c r="J368" s="66">
        <v>0</v>
      </c>
      <c r="K368" s="86">
        <v>0</v>
      </c>
      <c r="L368" s="86">
        <v>0</v>
      </c>
      <c r="M368" s="66">
        <v>0</v>
      </c>
      <c r="N368" s="66">
        <v>0</v>
      </c>
      <c r="O368" s="66">
        <v>0</v>
      </c>
      <c r="P368" s="66">
        <v>0</v>
      </c>
      <c r="Q368" s="66">
        <v>0</v>
      </c>
      <c r="R368" s="66">
        <v>0</v>
      </c>
      <c r="S368" s="66">
        <v>0</v>
      </c>
      <c r="T368" s="66">
        <v>0</v>
      </c>
      <c r="U368" s="66">
        <v>0</v>
      </c>
      <c r="V368" s="66">
        <v>0</v>
      </c>
      <c r="W368" s="66">
        <v>0</v>
      </c>
      <c r="X368" s="66">
        <v>0</v>
      </c>
      <c r="Y368" s="66">
        <v>0</v>
      </c>
      <c r="AA368" s="20"/>
      <c r="AB368" s="190"/>
      <c r="AD368" s="189"/>
      <c r="AE368" s="190"/>
    </row>
    <row r="369" spans="1:33" ht="18" customHeight="1" collapsed="1" x14ac:dyDescent="0.2">
      <c r="A369" s="32"/>
      <c r="B369" s="32"/>
      <c r="C369" s="4"/>
      <c r="D369" s="4"/>
      <c r="F369" s="191" t="s">
        <v>407</v>
      </c>
      <c r="G369" s="7"/>
      <c r="H369" s="194">
        <v>0</v>
      </c>
      <c r="I369" s="194">
        <v>0</v>
      </c>
      <c r="J369" s="194">
        <v>0</v>
      </c>
      <c r="K369" s="194">
        <v>0</v>
      </c>
      <c r="L369" s="194">
        <v>0</v>
      </c>
      <c r="M369" s="194">
        <v>0</v>
      </c>
      <c r="N369" s="194">
        <v>0</v>
      </c>
      <c r="O369" s="194">
        <v>0</v>
      </c>
      <c r="P369" s="194">
        <v>0</v>
      </c>
      <c r="Q369" s="194">
        <v>0</v>
      </c>
      <c r="R369" s="194">
        <v>0</v>
      </c>
      <c r="S369" s="194">
        <v>0</v>
      </c>
      <c r="T369" s="194">
        <v>0</v>
      </c>
      <c r="U369" s="194">
        <v>0</v>
      </c>
      <c r="V369" s="194">
        <v>0</v>
      </c>
      <c r="W369" s="194">
        <v>0</v>
      </c>
      <c r="X369" s="194">
        <v>0</v>
      </c>
      <c r="Y369" s="194">
        <v>0</v>
      </c>
      <c r="AA369" s="20"/>
      <c r="AB369" s="190"/>
      <c r="AD369" s="190"/>
      <c r="AE369" s="190"/>
    </row>
    <row r="370" spans="1:33" ht="18" customHeight="1" x14ac:dyDescent="0.2">
      <c r="A370" s="30" t="s">
        <v>106</v>
      </c>
      <c r="B370" s="30" t="s">
        <v>17</v>
      </c>
      <c r="C370" s="4"/>
      <c r="D370" s="4"/>
      <c r="F370" s="106" t="s">
        <v>108</v>
      </c>
      <c r="H370" s="61">
        <v>0</v>
      </c>
      <c r="I370" s="61">
        <v>0</v>
      </c>
      <c r="J370" s="61">
        <v>0</v>
      </c>
      <c r="K370" s="86"/>
      <c r="L370" s="86"/>
      <c r="M370" s="61">
        <v>0</v>
      </c>
      <c r="N370" s="61">
        <v>0</v>
      </c>
      <c r="O370" s="61">
        <v>0</v>
      </c>
      <c r="P370" s="61">
        <v>0</v>
      </c>
      <c r="Q370" s="61">
        <v>0</v>
      </c>
      <c r="R370" s="61">
        <v>0</v>
      </c>
      <c r="S370" s="61">
        <v>0</v>
      </c>
      <c r="T370" s="61">
        <v>0</v>
      </c>
      <c r="U370" s="61">
        <v>0</v>
      </c>
      <c r="V370" s="61">
        <v>0</v>
      </c>
      <c r="W370" s="61">
        <v>0</v>
      </c>
      <c r="X370" s="61">
        <v>0</v>
      </c>
      <c r="Y370" s="61">
        <v>0</v>
      </c>
      <c r="AA370" s="20"/>
      <c r="AB370" s="16"/>
      <c r="AD370" s="20"/>
      <c r="AE370" s="16"/>
    </row>
    <row r="371" spans="1:33" ht="18" customHeight="1" x14ac:dyDescent="0.2">
      <c r="A371" s="30" t="s">
        <v>107</v>
      </c>
      <c r="B371" s="30" t="s">
        <v>17</v>
      </c>
      <c r="C371" s="4"/>
      <c r="D371" s="4"/>
      <c r="F371" s="106" t="s">
        <v>109</v>
      </c>
      <c r="H371" s="61">
        <v>0</v>
      </c>
      <c r="I371" s="61">
        <v>0</v>
      </c>
      <c r="J371" s="61">
        <v>0</v>
      </c>
      <c r="K371" s="86"/>
      <c r="L371" s="86"/>
      <c r="M371" s="61">
        <v>0</v>
      </c>
      <c r="N371" s="61">
        <v>0</v>
      </c>
      <c r="O371" s="61">
        <v>0</v>
      </c>
      <c r="P371" s="61">
        <v>0</v>
      </c>
      <c r="Q371" s="61">
        <v>0</v>
      </c>
      <c r="R371" s="61">
        <v>0</v>
      </c>
      <c r="S371" s="61">
        <v>0</v>
      </c>
      <c r="T371" s="61">
        <v>0</v>
      </c>
      <c r="U371" s="61">
        <v>0</v>
      </c>
      <c r="V371" s="61">
        <v>0</v>
      </c>
      <c r="W371" s="61">
        <v>0</v>
      </c>
      <c r="X371" s="61">
        <v>0</v>
      </c>
      <c r="Y371" s="61">
        <v>0</v>
      </c>
      <c r="AA371" s="20"/>
      <c r="AB371" s="16"/>
      <c r="AD371" s="20"/>
      <c r="AE371" s="16"/>
    </row>
    <row r="372" spans="1:33" ht="18" customHeight="1" x14ac:dyDescent="0.2">
      <c r="A372" s="30"/>
      <c r="B372" s="30"/>
      <c r="C372" s="4"/>
      <c r="D372" s="4"/>
      <c r="F372" s="106" t="s">
        <v>110</v>
      </c>
      <c r="H372" s="61">
        <v>-3</v>
      </c>
      <c r="I372" s="61">
        <v>0</v>
      </c>
      <c r="J372" s="61">
        <v>0</v>
      </c>
      <c r="K372" s="86"/>
      <c r="L372" s="86"/>
      <c r="M372" s="61">
        <v>0</v>
      </c>
      <c r="N372" s="61">
        <v>0</v>
      </c>
      <c r="O372" s="61">
        <v>0</v>
      </c>
      <c r="P372" s="61">
        <v>0</v>
      </c>
      <c r="Q372" s="61">
        <v>0</v>
      </c>
      <c r="R372" s="61">
        <v>0</v>
      </c>
      <c r="S372" s="61">
        <v>0</v>
      </c>
      <c r="T372" s="61">
        <v>0</v>
      </c>
      <c r="U372" s="61">
        <v>0</v>
      </c>
      <c r="V372" s="61">
        <v>0</v>
      </c>
      <c r="W372" s="61">
        <v>0</v>
      </c>
      <c r="X372" s="61">
        <v>0</v>
      </c>
      <c r="Y372" s="61">
        <v>0</v>
      </c>
      <c r="AA372" s="20"/>
      <c r="AB372" s="16"/>
      <c r="AD372" s="20"/>
      <c r="AE372" s="16"/>
    </row>
    <row r="373" spans="1:33" ht="18" customHeight="1" collapsed="1" x14ac:dyDescent="0.2">
      <c r="A373" s="32"/>
      <c r="B373" s="32"/>
      <c r="C373" s="4">
        <v>1</v>
      </c>
      <c r="D373" s="4">
        <v>1</v>
      </c>
      <c r="F373" s="107" t="s">
        <v>111</v>
      </c>
      <c r="H373" s="58">
        <v>-3</v>
      </c>
      <c r="I373" s="58">
        <v>0</v>
      </c>
      <c r="J373" s="58">
        <v>0</v>
      </c>
      <c r="K373" s="92">
        <v>-1</v>
      </c>
      <c r="L373" s="92">
        <v>-1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AA373" s="58">
        <v>-1</v>
      </c>
      <c r="AB373" s="60">
        <v>1</v>
      </c>
      <c r="AD373" s="58">
        <v>-1</v>
      </c>
      <c r="AE373" s="60">
        <v>1</v>
      </c>
    </row>
    <row r="374" spans="1:33" ht="15" x14ac:dyDescent="0.2">
      <c r="A374" s="4"/>
      <c r="B374" s="4"/>
      <c r="C374" s="4"/>
      <c r="D374" s="4"/>
      <c r="F374" s="96"/>
      <c r="H374" s="16"/>
      <c r="I374" s="16"/>
      <c r="J374" s="16"/>
      <c r="K374" s="85"/>
      <c r="L374" s="85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AA374" s="16"/>
      <c r="AB374" s="8"/>
      <c r="AD374" s="16"/>
      <c r="AE374" s="8"/>
    </row>
    <row r="375" spans="1:33" ht="15" x14ac:dyDescent="0.2">
      <c r="F375" s="102" t="s">
        <v>370</v>
      </c>
      <c r="H375" s="81">
        <v>12.903852112676057</v>
      </c>
      <c r="I375" s="81">
        <v>8.3547315257841568</v>
      </c>
      <c r="J375" s="81">
        <v>8.3547315257841568</v>
      </c>
      <c r="K375" s="83">
        <v>9.921985815602838</v>
      </c>
      <c r="L375" s="83">
        <v>7.8071808510638308</v>
      </c>
      <c r="M375" s="81">
        <v>7.9052365930599366</v>
      </c>
      <c r="N375" s="81">
        <v>7.561703470031544</v>
      </c>
      <c r="O375" s="81">
        <v>8.7931448763250888</v>
      </c>
      <c r="P375" s="81">
        <v>7.29242902208202</v>
      </c>
      <c r="Q375" s="81">
        <v>6.334258675078865</v>
      </c>
      <c r="R375" s="81">
        <v>7.6493375394321754</v>
      </c>
      <c r="S375" s="81">
        <v>8.4767192429022096</v>
      </c>
      <c r="T375" s="81">
        <v>6.9873817034700307</v>
      </c>
      <c r="U375" s="81">
        <v>10.799678714859425</v>
      </c>
      <c r="V375" s="81">
        <v>7.4632530120481935</v>
      </c>
      <c r="W375" s="81">
        <v>9.3345783132530009</v>
      </c>
      <c r="X375" s="81">
        <v>8.1549397590361608</v>
      </c>
      <c r="Y375" s="81">
        <v>8.0094849212703494</v>
      </c>
      <c r="AA375" s="81">
        <v>9.921985815602838</v>
      </c>
      <c r="AB375" s="8"/>
      <c r="AD375" s="81">
        <v>7.8071808510638308</v>
      </c>
      <c r="AE375" s="8"/>
    </row>
    <row r="376" spans="1:33" ht="15" x14ac:dyDescent="0.2">
      <c r="F376" s="102" t="s">
        <v>371</v>
      </c>
      <c r="H376" s="81">
        <v>0</v>
      </c>
      <c r="I376" s="81">
        <v>32.67203742203742</v>
      </c>
      <c r="J376" s="81">
        <v>32.67203742203742</v>
      </c>
      <c r="K376" s="83">
        <v>27.98</v>
      </c>
      <c r="L376" s="83">
        <v>29.355</v>
      </c>
      <c r="M376" s="81">
        <v>30.192289156626504</v>
      </c>
      <c r="N376" s="81">
        <v>28.880240963855417</v>
      </c>
      <c r="O376" s="81">
        <v>29.981445783132536</v>
      </c>
      <c r="P376" s="81">
        <v>27.851807228915657</v>
      </c>
      <c r="Q376" s="81">
        <v>24.192289156626511</v>
      </c>
      <c r="R376" s="81">
        <v>29.214939759036142</v>
      </c>
      <c r="S376" s="81">
        <v>32.374939759036153</v>
      </c>
      <c r="T376" s="81">
        <v>26.686746987951782</v>
      </c>
      <c r="U376" s="81">
        <v>32.399036144578297</v>
      </c>
      <c r="V376" s="81">
        <v>29.853012048192827</v>
      </c>
      <c r="W376" s="81">
        <v>37.338313253012004</v>
      </c>
      <c r="X376" s="81">
        <v>32.619759036144586</v>
      </c>
      <c r="Y376" s="81">
        <v>30.132068273092369</v>
      </c>
      <c r="AA376" s="81">
        <v>27.98</v>
      </c>
      <c r="AB376" s="8"/>
      <c r="AD376" s="81">
        <v>29.355</v>
      </c>
      <c r="AE376" s="8"/>
    </row>
    <row r="377" spans="1:33" s="11" customFormat="1" ht="15" x14ac:dyDescent="0.2">
      <c r="A377" s="8"/>
      <c r="B377" s="8"/>
      <c r="C377" s="8"/>
      <c r="D377" s="8"/>
      <c r="E377" s="8"/>
      <c r="F377" s="103"/>
      <c r="G377" s="8"/>
      <c r="H377" s="82"/>
      <c r="I377" s="16"/>
      <c r="J377" s="16"/>
      <c r="K377" s="84"/>
      <c r="L377" s="84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8"/>
      <c r="AA377" s="16"/>
      <c r="AB377" s="8"/>
      <c r="AC377" s="8"/>
      <c r="AD377" s="16"/>
      <c r="AE377" s="8"/>
      <c r="AF377" s="8"/>
      <c r="AG377" s="8"/>
    </row>
    <row r="378" spans="1:33" s="11" customFormat="1" ht="15" x14ac:dyDescent="0.2">
      <c r="A378" s="8"/>
      <c r="B378" s="8"/>
      <c r="C378" s="8"/>
      <c r="D378" s="8"/>
      <c r="E378" s="8"/>
      <c r="F378" s="102" t="s">
        <v>356</v>
      </c>
      <c r="G378" s="8"/>
      <c r="H378" s="81">
        <v>181.01118401700114</v>
      </c>
      <c r="I378" s="81">
        <v>210.93247005297408</v>
      </c>
      <c r="J378" s="81">
        <v>210.93247005297408</v>
      </c>
      <c r="K378" s="83">
        <v>227.84213724088636</v>
      </c>
      <c r="L378" s="83">
        <v>217.80442854709591</v>
      </c>
      <c r="M378" s="81">
        <v>18.295151026619209</v>
      </c>
      <c r="N378" s="81">
        <v>18.72050205946729</v>
      </c>
      <c r="O378" s="81">
        <v>18.810629867468233</v>
      </c>
      <c r="P378" s="81">
        <v>22.166983893527131</v>
      </c>
      <c r="Q378" s="81">
        <v>22.249156689708308</v>
      </c>
      <c r="R378" s="81">
        <v>19.467573118226344</v>
      </c>
      <c r="S378" s="81">
        <v>15.363164528069715</v>
      </c>
      <c r="T378" s="81">
        <v>19.764409330323545</v>
      </c>
      <c r="U378" s="81">
        <v>17.26627422105868</v>
      </c>
      <c r="V378" s="81">
        <v>16.941877202895057</v>
      </c>
      <c r="W378" s="81">
        <v>15.646928550838737</v>
      </c>
      <c r="X378" s="81">
        <v>18.085842468654274</v>
      </c>
      <c r="Y378" s="81">
        <v>220.5483957171142</v>
      </c>
      <c r="Z378" s="8"/>
      <c r="AA378" s="81">
        <v>227.84213724088636</v>
      </c>
      <c r="AB378" s="8"/>
      <c r="AC378" s="8"/>
      <c r="AD378" s="81">
        <v>217.80442854709591</v>
      </c>
      <c r="AE378" s="8"/>
      <c r="AF378" s="8"/>
      <c r="AG378" s="8"/>
    </row>
    <row r="379" spans="1:33" ht="15" x14ac:dyDescent="0.2">
      <c r="F379" s="96"/>
      <c r="H379" s="16"/>
      <c r="I379" s="16"/>
      <c r="J379" s="16"/>
      <c r="K379" s="85"/>
      <c r="L379" s="85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AA379" s="16"/>
      <c r="AB379" s="8"/>
      <c r="AD379" s="16"/>
      <c r="AE379" s="8"/>
    </row>
    <row r="380" spans="1:33" s="11" customFormat="1" ht="15" x14ac:dyDescent="0.2">
      <c r="A380" s="8"/>
      <c r="B380" s="8"/>
      <c r="C380" s="8"/>
      <c r="D380" s="8"/>
      <c r="E380" s="8"/>
      <c r="F380" s="102" t="s">
        <v>254</v>
      </c>
      <c r="G380" s="8"/>
      <c r="H380" s="81">
        <v>5.8251906316845989</v>
      </c>
      <c r="I380" s="81">
        <v>5.4461483241744633</v>
      </c>
      <c r="J380" s="81">
        <v>5.4461483241744633</v>
      </c>
      <c r="K380" s="83">
        <v>4.4922018348623851</v>
      </c>
      <c r="L380" s="83">
        <v>4.9269889224572001</v>
      </c>
      <c r="M380" s="81">
        <v>7.0239929526707767</v>
      </c>
      <c r="N380" s="81">
        <v>7.2387489214840368</v>
      </c>
      <c r="O380" s="81">
        <v>5.7345338425072443</v>
      </c>
      <c r="P380" s="81">
        <v>5.446983977379829</v>
      </c>
      <c r="Q380" s="81">
        <v>4.8083333333333318</v>
      </c>
      <c r="R380" s="81">
        <v>6.2116226304618323</v>
      </c>
      <c r="S380" s="81">
        <v>7.6925568460657638</v>
      </c>
      <c r="T380" s="81">
        <v>6.6306021211084429</v>
      </c>
      <c r="U380" s="81">
        <v>7.9492567567567551</v>
      </c>
      <c r="V380" s="81">
        <v>6.4713827326318967</v>
      </c>
      <c r="W380" s="81">
        <v>7.2738599785407718</v>
      </c>
      <c r="X380" s="81">
        <v>7.1495699411498537</v>
      </c>
      <c r="Y380" s="81">
        <v>6.5764097844393108</v>
      </c>
      <c r="Z380" s="8"/>
      <c r="AA380" s="81">
        <v>4.4922018348623851</v>
      </c>
      <c r="AB380" s="8"/>
      <c r="AC380" s="8"/>
      <c r="AD380" s="81">
        <v>4.9269889224572001</v>
      </c>
      <c r="AE380" s="8"/>
      <c r="AF380" s="8"/>
      <c r="AG380" s="8"/>
    </row>
    <row r="381" spans="1:33" s="11" customFormat="1" ht="15" x14ac:dyDescent="0.2">
      <c r="A381" s="8"/>
      <c r="B381" s="8"/>
      <c r="C381" s="8"/>
      <c r="D381" s="8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8"/>
      <c r="AC381" s="20"/>
      <c r="AD381" s="20"/>
      <c r="AE381" s="8"/>
      <c r="AF381" s="8"/>
      <c r="AG381" s="8"/>
    </row>
    <row r="382" spans="1:33" s="11" customFormat="1" x14ac:dyDescent="0.2">
      <c r="A382" s="42" t="s">
        <v>30</v>
      </c>
      <c r="B382" s="42" t="s">
        <v>17</v>
      </c>
      <c r="C382" s="8"/>
      <c r="D382" s="8"/>
      <c r="E382" s="8"/>
      <c r="F382" s="43" t="s">
        <v>253</v>
      </c>
      <c r="G382" s="8"/>
      <c r="H382" s="44">
        <v>0</v>
      </c>
      <c r="I382" s="44">
        <v>0</v>
      </c>
      <c r="J382" s="44">
        <v>0</v>
      </c>
      <c r="K382" s="44">
        <v>0</v>
      </c>
      <c r="L382" s="44">
        <v>0</v>
      </c>
      <c r="M382" s="44">
        <v>0</v>
      </c>
      <c r="N382" s="44">
        <v>1.1368683772161603E-13</v>
      </c>
      <c r="O382" s="44">
        <v>8.5265128291212022E-14</v>
      </c>
      <c r="P382" s="44">
        <v>2.2737367544323206E-13</v>
      </c>
      <c r="Q382" s="44">
        <v>1.1368683772161603E-13</v>
      </c>
      <c r="R382" s="44">
        <v>3.4106051316484809E-13</v>
      </c>
      <c r="S382" s="44">
        <v>-1.1368683772161603E-13</v>
      </c>
      <c r="T382" s="44">
        <v>1.4779288903810084E-12</v>
      </c>
      <c r="U382" s="44">
        <v>4.5474735088646412E-13</v>
      </c>
      <c r="V382" s="44">
        <v>0</v>
      </c>
      <c r="W382" s="44">
        <v>4.5474735088646412E-13</v>
      </c>
      <c r="X382" s="44">
        <v>-2.2737367544323206E-13</v>
      </c>
      <c r="Y382" s="44">
        <v>0</v>
      </c>
      <c r="Z382" s="8"/>
      <c r="AA382" s="8"/>
      <c r="AB382" s="8"/>
      <c r="AC382" s="8"/>
      <c r="AD382" s="8"/>
      <c r="AE382" s="8"/>
      <c r="AF382" s="8"/>
      <c r="AG382" s="8"/>
    </row>
    <row r="383" spans="1:33" s="2" customFormat="1" ht="12.75" x14ac:dyDescent="0.2">
      <c r="F383" s="1"/>
      <c r="K383" s="49"/>
      <c r="L383" s="49"/>
      <c r="AB383" s="8"/>
      <c r="AE383" s="8"/>
    </row>
    <row r="384" spans="1:33" s="11" customFormat="1" x14ac:dyDescent="0.2">
      <c r="A384" s="8"/>
      <c r="B384" s="8"/>
      <c r="C384" s="8"/>
      <c r="D384" s="8"/>
      <c r="F384" s="11" t="s">
        <v>315</v>
      </c>
      <c r="M384" s="125" t="s">
        <v>388</v>
      </c>
      <c r="N384" s="125" t="s">
        <v>364</v>
      </c>
      <c r="O384" s="125" t="s">
        <v>316</v>
      </c>
      <c r="P384" s="125" t="s">
        <v>317</v>
      </c>
      <c r="Q384" s="125" t="s">
        <v>318</v>
      </c>
      <c r="R384" s="125" t="s">
        <v>319</v>
      </c>
      <c r="S384" s="125" t="s">
        <v>365</v>
      </c>
      <c r="T384" s="125" t="s">
        <v>320</v>
      </c>
      <c r="U384" s="125" t="s">
        <v>366</v>
      </c>
      <c r="V384" s="125" t="s">
        <v>367</v>
      </c>
      <c r="W384" s="125" t="s">
        <v>368</v>
      </c>
      <c r="X384" s="125" t="s">
        <v>369</v>
      </c>
      <c r="AB384" s="8"/>
      <c r="AE384" s="8"/>
      <c r="AF384" s="8"/>
      <c r="AG384" s="8"/>
    </row>
    <row r="385" spans="1:33" s="11" customFormat="1" x14ac:dyDescent="0.2">
      <c r="A385" s="8"/>
      <c r="B385" s="8"/>
      <c r="C385" s="8"/>
      <c r="D385" s="8"/>
      <c r="M385" s="126" t="s">
        <v>5</v>
      </c>
      <c r="N385" s="126" t="s">
        <v>6</v>
      </c>
      <c r="O385" s="126" t="s">
        <v>7</v>
      </c>
      <c r="P385" s="126" t="s">
        <v>8</v>
      </c>
      <c r="Q385" s="126" t="s">
        <v>9</v>
      </c>
      <c r="R385" s="126" t="s">
        <v>10</v>
      </c>
      <c r="S385" s="126" t="s">
        <v>321</v>
      </c>
      <c r="T385" s="126" t="s">
        <v>11</v>
      </c>
      <c r="U385" s="126" t="s">
        <v>12</v>
      </c>
      <c r="V385" s="126" t="s">
        <v>13</v>
      </c>
      <c r="W385" s="126" t="s">
        <v>14</v>
      </c>
      <c r="X385" s="126" t="s">
        <v>15</v>
      </c>
      <c r="AB385" s="8"/>
      <c r="AE385" s="8"/>
      <c r="AF385" s="8"/>
      <c r="AG385" s="8"/>
    </row>
    <row r="386" spans="1:33" s="11" customFormat="1" x14ac:dyDescent="0.2">
      <c r="A386" s="8"/>
      <c r="B386" s="8"/>
      <c r="C386" s="8"/>
      <c r="D386" s="8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AB386" s="8"/>
      <c r="AE386" s="8"/>
      <c r="AF386" s="8"/>
      <c r="AG386" s="8"/>
    </row>
    <row r="387" spans="1:33" s="11" customFormat="1" x14ac:dyDescent="0.2">
      <c r="A387" s="42" t="s">
        <v>30</v>
      </c>
      <c r="B387" s="42" t="s">
        <v>17</v>
      </c>
      <c r="C387" s="8"/>
      <c r="D387" s="8"/>
      <c r="F387" s="52">
        <v>2021</v>
      </c>
      <c r="M387" s="55">
        <v>-29.415939999999999</v>
      </c>
      <c r="N387" s="55">
        <v>22.526810000000001</v>
      </c>
      <c r="O387" s="55">
        <v>33.93459</v>
      </c>
      <c r="P387" s="55">
        <v>102.23063999999999</v>
      </c>
      <c r="Q387" s="55">
        <v>244.17267000000001</v>
      </c>
      <c r="R387" s="55">
        <v>318.19603000000001</v>
      </c>
      <c r="S387" s="55">
        <v>430.49335000000002</v>
      </c>
      <c r="T387" s="55">
        <v>572.29434000000003</v>
      </c>
      <c r="U387" s="55">
        <v>644.38999000000001</v>
      </c>
      <c r="V387" s="55">
        <v>728.22800000000097</v>
      </c>
      <c r="W387" s="55">
        <v>782.42700000000002</v>
      </c>
      <c r="X387" s="55">
        <v>908.55500000000097</v>
      </c>
      <c r="AB387" s="8"/>
      <c r="AE387" s="8"/>
      <c r="AF387" s="8"/>
      <c r="AG387" s="8"/>
    </row>
    <row r="388" spans="1:33" s="11" customFormat="1" x14ac:dyDescent="0.2">
      <c r="A388" s="42" t="s">
        <v>30</v>
      </c>
      <c r="B388" s="42" t="s">
        <v>17</v>
      </c>
      <c r="C388" s="8"/>
      <c r="D388" s="8"/>
      <c r="F388" s="52">
        <v>2022</v>
      </c>
      <c r="M388" s="55">
        <v>87.694999999999993</v>
      </c>
      <c r="N388" s="55">
        <v>225.584</v>
      </c>
      <c r="O388" s="55">
        <v>273.92399999999998</v>
      </c>
      <c r="P388" s="55">
        <v>326.834</v>
      </c>
      <c r="Q388" s="55">
        <v>450.988</v>
      </c>
      <c r="R388" s="55">
        <v>610.303</v>
      </c>
      <c r="S388" s="55">
        <v>679.298</v>
      </c>
      <c r="T388" s="55">
        <v>886.83699999999999</v>
      </c>
      <c r="U388" s="55">
        <v>1017.46836</v>
      </c>
      <c r="V388" s="55">
        <v>1104.7460000000001</v>
      </c>
      <c r="W388" s="55">
        <v>1295.8530000000001</v>
      </c>
      <c r="X388" s="55">
        <v>1570.4580000000001</v>
      </c>
      <c r="AB388" s="8"/>
      <c r="AE388" s="8"/>
      <c r="AF388" s="8"/>
      <c r="AG388" s="8"/>
    </row>
    <row r="389" spans="1:33" s="11" customFormat="1" x14ac:dyDescent="0.2">
      <c r="A389" s="42" t="s">
        <v>30</v>
      </c>
      <c r="B389" s="42" t="s">
        <v>17</v>
      </c>
      <c r="C389" s="8"/>
      <c r="D389" s="8"/>
      <c r="F389" s="124" t="s">
        <v>489</v>
      </c>
      <c r="L389" s="54">
        <v>1337.0831100000005</v>
      </c>
      <c r="M389" s="55">
        <v>111.42359250000004</v>
      </c>
      <c r="N389" s="55">
        <v>222.84718500000008</v>
      </c>
      <c r="O389" s="55">
        <v>334.27077750000012</v>
      </c>
      <c r="P389" s="55">
        <v>445.69437000000016</v>
      </c>
      <c r="Q389" s="55">
        <v>557.1179625000002</v>
      </c>
      <c r="R389" s="55">
        <v>668.54155500000024</v>
      </c>
      <c r="S389" s="55">
        <v>779.9651475000004</v>
      </c>
      <c r="T389" s="55">
        <v>891.38874000000033</v>
      </c>
      <c r="U389" s="55">
        <v>1002.8123325000003</v>
      </c>
      <c r="V389" s="55">
        <v>1114.2359250000004</v>
      </c>
      <c r="W389" s="55">
        <v>1225.6595175000004</v>
      </c>
      <c r="X389" s="55">
        <v>1337.0831100000005</v>
      </c>
      <c r="AB389" s="8"/>
      <c r="AE389" s="8"/>
      <c r="AF389" s="8"/>
      <c r="AG389" s="8"/>
    </row>
    <row r="390" spans="1:33" s="11" customFormat="1" x14ac:dyDescent="0.2">
      <c r="A390" s="42" t="s">
        <v>30</v>
      </c>
      <c r="B390" s="42" t="s">
        <v>17</v>
      </c>
      <c r="C390" s="8"/>
      <c r="D390" s="8"/>
      <c r="F390" s="52" t="s">
        <v>450</v>
      </c>
      <c r="M390" s="55">
        <v>71.655999999999906</v>
      </c>
      <c r="N390" s="55">
        <v>155.303</v>
      </c>
      <c r="O390" s="55">
        <v>241.27799999999999</v>
      </c>
      <c r="P390" s="55">
        <v>419.35300000000001</v>
      </c>
      <c r="Q390" s="55">
        <v>579.70500000000004</v>
      </c>
      <c r="R390" s="55">
        <v>713.57500000000005</v>
      </c>
      <c r="S390" s="55">
        <v>778.35199999999998</v>
      </c>
      <c r="T390" s="55">
        <v>947.34600000000103</v>
      </c>
      <c r="U390" s="55">
        <v>1073.29</v>
      </c>
      <c r="V390" s="55">
        <v>1194.0820000000001</v>
      </c>
      <c r="W390" s="55">
        <v>1359.2429999999999</v>
      </c>
      <c r="X390" s="55">
        <v>1509.202</v>
      </c>
      <c r="AB390" s="8"/>
      <c r="AE390" s="8"/>
      <c r="AF390" s="8"/>
      <c r="AG390" s="8"/>
    </row>
    <row r="391" spans="1:33" s="11" customFormat="1" x14ac:dyDescent="0.2">
      <c r="A391" s="8"/>
      <c r="B391" s="8"/>
      <c r="C391" s="8"/>
      <c r="D391" s="8"/>
      <c r="F391" s="11" t="s">
        <v>490</v>
      </c>
      <c r="L391" s="54">
        <v>1337.0831100000005</v>
      </c>
      <c r="M391" s="55" t="s">
        <v>481</v>
      </c>
      <c r="N391" s="55" t="s">
        <v>481</v>
      </c>
      <c r="O391" s="55" t="s">
        <v>481</v>
      </c>
      <c r="P391" s="55" t="s">
        <v>481</v>
      </c>
      <c r="Q391" s="55" t="s">
        <v>481</v>
      </c>
      <c r="R391" s="55" t="s">
        <v>481</v>
      </c>
      <c r="S391" s="55" t="s">
        <v>481</v>
      </c>
      <c r="T391" s="55" t="s">
        <v>481</v>
      </c>
      <c r="U391" s="55" t="s">
        <v>481</v>
      </c>
      <c r="V391" s="55" t="s">
        <v>481</v>
      </c>
      <c r="W391" s="55" t="s">
        <v>481</v>
      </c>
      <c r="X391" s="55">
        <v>1509.202</v>
      </c>
      <c r="AB391" s="8"/>
      <c r="AE391" s="8"/>
      <c r="AF391" s="8"/>
      <c r="AG391" s="8"/>
    </row>
    <row r="392" spans="1:33" s="2" customFormat="1" ht="12.75" x14ac:dyDescent="0.2">
      <c r="F392" s="1"/>
      <c r="K392" s="49"/>
      <c r="L392" s="49"/>
      <c r="AB392" s="8"/>
      <c r="AE392" s="8"/>
    </row>
    <row r="393" spans="1:33" s="2" customFormat="1" ht="12.75" x14ac:dyDescent="0.2">
      <c r="F393" s="1"/>
      <c r="K393" s="49"/>
      <c r="L393" s="49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AB393" s="8"/>
      <c r="AE393" s="8"/>
    </row>
    <row r="394" spans="1:33" s="2" customFormat="1" ht="12.75" x14ac:dyDescent="0.2">
      <c r="F394" s="1"/>
      <c r="K394" s="49"/>
      <c r="L394" s="49"/>
      <c r="AB394" s="8"/>
      <c r="AE394" s="8"/>
    </row>
    <row r="395" spans="1:33" s="2" customFormat="1" ht="12.75" x14ac:dyDescent="0.2">
      <c r="F395" s="1"/>
      <c r="K395" s="49"/>
      <c r="L395" s="49"/>
      <c r="AB395" s="8"/>
      <c r="AE395" s="8"/>
    </row>
    <row r="396" spans="1:33" s="2" customFormat="1" ht="12.75" x14ac:dyDescent="0.2">
      <c r="F396" s="1"/>
      <c r="K396" s="49"/>
      <c r="L396" s="49"/>
      <c r="R396" s="93"/>
      <c r="S396" s="93"/>
      <c r="T396" s="93"/>
      <c r="AB396" s="8"/>
      <c r="AE396" s="8"/>
    </row>
    <row r="397" spans="1:33" s="2" customFormat="1" ht="12.75" x14ac:dyDescent="0.2">
      <c r="F397" s="1"/>
      <c r="K397" s="49"/>
      <c r="L397" s="49"/>
      <c r="AB397" s="8"/>
      <c r="AE397" s="8"/>
    </row>
    <row r="398" spans="1:33" s="2" customFormat="1" ht="12.75" x14ac:dyDescent="0.2">
      <c r="F398" s="1"/>
      <c r="K398" s="49"/>
      <c r="L398" s="49"/>
      <c r="AB398" s="8"/>
      <c r="AE398" s="8"/>
    </row>
    <row r="399" spans="1:33" s="2" customFormat="1" ht="12.75" x14ac:dyDescent="0.2">
      <c r="F399" s="1"/>
      <c r="K399" s="49"/>
      <c r="L399" s="49"/>
      <c r="AB399" s="8"/>
      <c r="AE399" s="8"/>
    </row>
    <row r="400" spans="1:33" s="2" customFormat="1" ht="12.75" x14ac:dyDescent="0.2">
      <c r="F400" s="1"/>
      <c r="K400" s="49"/>
      <c r="L400" s="49"/>
      <c r="AB400" s="8"/>
      <c r="AE400" s="8"/>
    </row>
    <row r="401" spans="6:31" s="2" customFormat="1" ht="12.75" x14ac:dyDescent="0.2">
      <c r="F401" s="1"/>
      <c r="K401" s="49"/>
      <c r="L401" s="49"/>
      <c r="AB401" s="8"/>
      <c r="AE401" s="8"/>
    </row>
    <row r="402" spans="6:31" s="2" customFormat="1" ht="12.75" x14ac:dyDescent="0.2">
      <c r="F402" s="1"/>
      <c r="K402" s="49"/>
      <c r="L402" s="49"/>
      <c r="AB402" s="8"/>
      <c r="AE402" s="8"/>
    </row>
    <row r="403" spans="6:31" s="2" customFormat="1" x14ac:dyDescent="0.2">
      <c r="F403" s="1"/>
      <c r="K403" s="49"/>
      <c r="L403" s="49"/>
      <c r="AB403" s="8"/>
      <c r="AE403" s="3"/>
    </row>
    <row r="404" spans="6:31" s="2" customFormat="1" x14ac:dyDescent="0.2">
      <c r="F404" s="1"/>
      <c r="K404" s="49"/>
      <c r="L404" s="49"/>
      <c r="AB404" s="3"/>
      <c r="AE404" s="3"/>
    </row>
    <row r="405" spans="6:31" s="2" customFormat="1" x14ac:dyDescent="0.2">
      <c r="F405" s="1"/>
      <c r="K405" s="49"/>
      <c r="L405" s="49"/>
      <c r="AB405" s="3"/>
      <c r="AE405" s="3"/>
    </row>
    <row r="406" spans="6:31" s="2" customFormat="1" x14ac:dyDescent="0.2">
      <c r="F406" s="1"/>
      <c r="K406" s="49"/>
      <c r="L406" s="49"/>
      <c r="AB406" s="3"/>
      <c r="AE406" s="3"/>
    </row>
    <row r="407" spans="6:31" s="2" customFormat="1" x14ac:dyDescent="0.2">
      <c r="F407" s="1"/>
      <c r="K407" s="49"/>
      <c r="L407" s="49"/>
      <c r="AB407" s="3"/>
      <c r="AE407" s="3"/>
    </row>
    <row r="408" spans="6:31" s="2" customFormat="1" x14ac:dyDescent="0.2">
      <c r="F408" s="1"/>
      <c r="K408" s="49"/>
      <c r="L408" s="49"/>
      <c r="AB408" s="3"/>
      <c r="AE408" s="3"/>
    </row>
    <row r="409" spans="6:31" s="2" customFormat="1" x14ac:dyDescent="0.2">
      <c r="F409" s="1"/>
      <c r="K409" s="49"/>
      <c r="L409" s="49"/>
      <c r="AB409" s="3"/>
      <c r="AE409" s="3"/>
    </row>
    <row r="410" spans="6:31" s="2" customFormat="1" x14ac:dyDescent="0.2">
      <c r="F410" s="1"/>
      <c r="K410" s="49"/>
      <c r="L410" s="49"/>
      <c r="AB410" s="3"/>
      <c r="AE410" s="3"/>
    </row>
    <row r="411" spans="6:31" s="2" customFormat="1" x14ac:dyDescent="0.2">
      <c r="F411" s="1"/>
      <c r="K411" s="49"/>
      <c r="L411" s="49"/>
      <c r="AB411" s="3"/>
      <c r="AE411" s="3"/>
    </row>
    <row r="412" spans="6:31" s="2" customFormat="1" x14ac:dyDescent="0.2">
      <c r="F412" s="1"/>
      <c r="K412" s="49"/>
      <c r="L412" s="49"/>
      <c r="AB412" s="3"/>
      <c r="AE412" s="3"/>
    </row>
    <row r="413" spans="6:31" s="2" customFormat="1" x14ac:dyDescent="0.2">
      <c r="F413" s="1"/>
      <c r="K413" s="49"/>
      <c r="L413" s="49"/>
      <c r="AB413" s="3"/>
      <c r="AE413" s="3"/>
    </row>
    <row r="414" spans="6:31" s="2" customFormat="1" x14ac:dyDescent="0.2">
      <c r="F414" s="1"/>
      <c r="K414" s="49"/>
      <c r="L414" s="49"/>
      <c r="AB414" s="3"/>
      <c r="AE414" s="3"/>
    </row>
    <row r="415" spans="6:31" s="2" customFormat="1" x14ac:dyDescent="0.2">
      <c r="F415" s="1"/>
      <c r="K415" s="49"/>
      <c r="L415" s="49"/>
      <c r="AB415" s="3"/>
      <c r="AE415" s="3"/>
    </row>
    <row r="416" spans="6:31" s="2" customFormat="1" x14ac:dyDescent="0.2">
      <c r="F416" s="1"/>
      <c r="K416" s="49"/>
      <c r="L416" s="49"/>
      <c r="AB416" s="3"/>
      <c r="AE416" s="3"/>
    </row>
    <row r="417" spans="6:31" s="2" customFormat="1" x14ac:dyDescent="0.2">
      <c r="F417" s="1"/>
      <c r="K417" s="49"/>
      <c r="L417" s="49"/>
      <c r="AB417" s="3"/>
      <c r="AE417" s="3"/>
    </row>
    <row r="418" spans="6:31" s="2" customFormat="1" x14ac:dyDescent="0.2">
      <c r="F418" s="1"/>
      <c r="K418" s="49"/>
      <c r="L418" s="49"/>
      <c r="AB418" s="3"/>
      <c r="AE418" s="3"/>
    </row>
    <row r="419" spans="6:31" s="2" customFormat="1" x14ac:dyDescent="0.2">
      <c r="F419" s="1"/>
      <c r="K419" s="49"/>
      <c r="L419" s="49"/>
      <c r="AB419" s="3"/>
      <c r="AE419" s="3"/>
    </row>
    <row r="420" spans="6:31" s="2" customFormat="1" x14ac:dyDescent="0.2">
      <c r="F420" s="1"/>
      <c r="K420" s="49"/>
      <c r="L420" s="49"/>
      <c r="AB420" s="3"/>
      <c r="AE420" s="3"/>
    </row>
    <row r="421" spans="6:31" s="2" customFormat="1" x14ac:dyDescent="0.2">
      <c r="F421" s="1"/>
      <c r="K421" s="49"/>
      <c r="L421" s="49"/>
      <c r="AB421" s="3"/>
      <c r="AE421" s="3"/>
    </row>
    <row r="422" spans="6:31" s="2" customFormat="1" x14ac:dyDescent="0.2">
      <c r="F422" s="1"/>
      <c r="K422" s="49"/>
      <c r="L422" s="49"/>
      <c r="AB422" s="3"/>
      <c r="AE422" s="3"/>
    </row>
    <row r="423" spans="6:31" s="2" customFormat="1" x14ac:dyDescent="0.2">
      <c r="F423" s="1"/>
      <c r="K423" s="49"/>
      <c r="L423" s="49"/>
      <c r="AB423" s="3"/>
      <c r="AE423" s="3"/>
    </row>
    <row r="424" spans="6:31" s="2" customFormat="1" x14ac:dyDescent="0.2">
      <c r="F424" s="1"/>
      <c r="K424" s="49"/>
      <c r="L424" s="49"/>
      <c r="AB424" s="3"/>
      <c r="AE424" s="3"/>
    </row>
    <row r="425" spans="6:31" s="2" customFormat="1" x14ac:dyDescent="0.2">
      <c r="F425" s="1"/>
      <c r="K425" s="49"/>
      <c r="L425" s="49"/>
      <c r="AB425" s="3"/>
      <c r="AE425" s="3"/>
    </row>
    <row r="426" spans="6:31" s="2" customFormat="1" x14ac:dyDescent="0.2">
      <c r="F426" s="1"/>
      <c r="K426" s="49"/>
      <c r="L426" s="49"/>
      <c r="AB426" s="3"/>
      <c r="AE426" s="3"/>
    </row>
    <row r="427" spans="6:31" s="2" customFormat="1" x14ac:dyDescent="0.2">
      <c r="F427" s="1"/>
      <c r="K427" s="49"/>
      <c r="L427" s="49"/>
      <c r="AB427" s="3"/>
      <c r="AE427" s="3"/>
    </row>
    <row r="428" spans="6:31" s="2" customFormat="1" x14ac:dyDescent="0.2">
      <c r="F428" s="1"/>
      <c r="K428" s="49"/>
      <c r="L428" s="49"/>
      <c r="AB428" s="3"/>
      <c r="AE428" s="3"/>
    </row>
    <row r="429" spans="6:31" s="2" customFormat="1" x14ac:dyDescent="0.2">
      <c r="F429" s="1"/>
      <c r="K429" s="49"/>
      <c r="L429" s="49"/>
      <c r="AB429" s="3"/>
      <c r="AE429" s="3"/>
    </row>
    <row r="430" spans="6:31" s="2" customFormat="1" x14ac:dyDescent="0.2">
      <c r="F430" s="1"/>
      <c r="K430" s="49"/>
      <c r="L430" s="49"/>
      <c r="AB430" s="3"/>
      <c r="AE430" s="3"/>
    </row>
    <row r="431" spans="6:31" s="2" customFormat="1" x14ac:dyDescent="0.2">
      <c r="F431" s="1"/>
      <c r="K431" s="49"/>
      <c r="L431" s="49"/>
      <c r="AB431" s="3"/>
      <c r="AE431" s="3"/>
    </row>
    <row r="432" spans="6:31" s="2" customFormat="1" x14ac:dyDescent="0.2">
      <c r="F432" s="1"/>
      <c r="K432" s="49"/>
      <c r="L432" s="49"/>
      <c r="AB432" s="3"/>
      <c r="AE432" s="3"/>
    </row>
    <row r="433" spans="6:31" s="2" customFormat="1" x14ac:dyDescent="0.2">
      <c r="F433" s="1"/>
      <c r="K433" s="49"/>
      <c r="L433" s="49"/>
      <c r="AB433" s="3"/>
      <c r="AE433" s="3"/>
    </row>
    <row r="434" spans="6:31" s="2" customFormat="1" x14ac:dyDescent="0.2">
      <c r="F434" s="1"/>
      <c r="K434" s="49"/>
      <c r="L434" s="49"/>
      <c r="AB434" s="3"/>
      <c r="AE434" s="3"/>
    </row>
    <row r="435" spans="6:31" s="2" customFormat="1" x14ac:dyDescent="0.2">
      <c r="F435" s="1"/>
      <c r="K435" s="49"/>
      <c r="L435" s="49"/>
      <c r="AB435" s="3"/>
      <c r="AE435" s="3"/>
    </row>
  </sheetData>
  <mergeCells count="5">
    <mergeCell ref="F9:F10"/>
    <mergeCell ref="AA9:AA10"/>
    <mergeCell ref="AB9:AB10"/>
    <mergeCell ref="AD9:AD10"/>
    <mergeCell ref="AE9:AE10"/>
  </mergeCells>
  <conditionalFormatting sqref="AB1:AB1048576">
    <cfRule type="expression" dxfId="167" priority="52" stopIfTrue="1">
      <formula>($C1&gt;0)</formula>
    </cfRule>
    <cfRule type="expression" dxfId="166" priority="53" stopIfTrue="1">
      <formula>AND($C1&lt;0,$C1&gt;=$AB$2)</formula>
    </cfRule>
    <cfRule type="expression" dxfId="165" priority="54" stopIfTrue="1">
      <formula>($C1&lt;$AB$2)</formula>
    </cfRule>
  </conditionalFormatting>
  <conditionalFormatting sqref="AE1:AE299 AE301 AE303:AE1048576">
    <cfRule type="expression" dxfId="164" priority="49" stopIfTrue="1">
      <formula>($D1&gt;0)</formula>
    </cfRule>
    <cfRule type="expression" dxfId="163" priority="50" stopIfTrue="1">
      <formula>AND($D1&lt;0,$D1&gt;=$AE$2)</formula>
    </cfRule>
    <cfRule type="expression" dxfId="162" priority="51" stopIfTrue="1">
      <formula>($D1&lt;$AE$2)</formula>
    </cfRule>
  </conditionalFormatting>
  <conditionalFormatting sqref="AB9:AB10">
    <cfRule type="expression" dxfId="161" priority="46" stopIfTrue="1">
      <formula>($C9&gt;0)</formula>
    </cfRule>
    <cfRule type="expression" dxfId="160" priority="47" stopIfTrue="1">
      <formula>AND($C9&lt;0,$C9&gt;=$AB$2)</formula>
    </cfRule>
    <cfRule type="expression" dxfId="159" priority="48" stopIfTrue="1">
      <formula>($C9&lt;$AB$2)</formula>
    </cfRule>
  </conditionalFormatting>
  <conditionalFormatting sqref="AE9:AE10">
    <cfRule type="expression" dxfId="158" priority="43" stopIfTrue="1">
      <formula>($D9&gt;0)</formula>
    </cfRule>
    <cfRule type="expression" dxfId="157" priority="44" stopIfTrue="1">
      <formula>AND($D9&lt;0,$D9&gt;=$AE$2)</formula>
    </cfRule>
    <cfRule type="expression" dxfId="156" priority="45" stopIfTrue="1">
      <formula>($D9&lt;$AE$2)</formula>
    </cfRule>
  </conditionalFormatting>
  <conditionalFormatting sqref="AD366">
    <cfRule type="expression" dxfId="155" priority="40" stopIfTrue="1">
      <formula>($D366&gt;0)</formula>
    </cfRule>
    <cfRule type="expression" dxfId="154" priority="41" stopIfTrue="1">
      <formula>AND($D366&lt;0,$D366&gt;=$AE$2)</formula>
    </cfRule>
    <cfRule type="expression" dxfId="153" priority="42" stopIfTrue="1">
      <formula>($D366&lt;$AE$2)</formula>
    </cfRule>
  </conditionalFormatting>
  <conditionalFormatting sqref="AD369">
    <cfRule type="expression" dxfId="152" priority="37" stopIfTrue="1">
      <formula>($D369&gt;0)</formula>
    </cfRule>
    <cfRule type="expression" dxfId="151" priority="38" stopIfTrue="1">
      <formula>AND($D369&lt;0,$D369&gt;=$AE$2)</formula>
    </cfRule>
    <cfRule type="expression" dxfId="150" priority="39" stopIfTrue="1">
      <formula>($D369&lt;$AE$2)</formula>
    </cfRule>
  </conditionalFormatting>
  <conditionalFormatting sqref="AE140">
    <cfRule type="expression" dxfId="149" priority="34" stopIfTrue="1">
      <formula>($D140&gt;0)</formula>
    </cfRule>
    <cfRule type="expression" dxfId="148" priority="35" stopIfTrue="1">
      <formula>AND($D140&lt;0,$D140&gt;=$AE$2)</formula>
    </cfRule>
    <cfRule type="expression" dxfId="147" priority="36" stopIfTrue="1">
      <formula>($D140&lt;$AE$2)</formula>
    </cfRule>
  </conditionalFormatting>
  <conditionalFormatting sqref="AB140">
    <cfRule type="expression" dxfId="146" priority="31" stopIfTrue="1">
      <formula>($C140&gt;0)</formula>
    </cfRule>
    <cfRule type="expression" dxfId="145" priority="32" stopIfTrue="1">
      <formula>AND($C140&lt;0,$C140&gt;=$AB$2)</formula>
    </cfRule>
    <cfRule type="expression" dxfId="144" priority="33" stopIfTrue="1">
      <formula>($C140&lt;$AB$2)</formula>
    </cfRule>
  </conditionalFormatting>
  <conditionalFormatting sqref="AE140">
    <cfRule type="expression" dxfId="143" priority="28" stopIfTrue="1">
      <formula>($D140&gt;0)</formula>
    </cfRule>
    <cfRule type="expression" dxfId="142" priority="29" stopIfTrue="1">
      <formula>AND($D140&lt;0,$D140&gt;=$AE$2)</formula>
    </cfRule>
    <cfRule type="expression" dxfId="141" priority="30" stopIfTrue="1">
      <formula>($D140&lt;$AE$2)</formula>
    </cfRule>
  </conditionalFormatting>
  <conditionalFormatting sqref="AB140">
    <cfRule type="expression" dxfId="140" priority="25" stopIfTrue="1">
      <formula>($C140&gt;0)</formula>
    </cfRule>
    <cfRule type="expression" dxfId="139" priority="26" stopIfTrue="1">
      <formula>AND($C140&lt;0,$C140&gt;=$AB$2)</formula>
    </cfRule>
    <cfRule type="expression" dxfId="138" priority="27" stopIfTrue="1">
      <formula>($C140&lt;$AB$2)</formula>
    </cfRule>
  </conditionalFormatting>
  <conditionalFormatting sqref="AE140">
    <cfRule type="expression" dxfId="137" priority="22" stopIfTrue="1">
      <formula>($D140&gt;0)</formula>
    </cfRule>
    <cfRule type="expression" dxfId="136" priority="23" stopIfTrue="1">
      <formula>AND($D140&lt;0,$D140&gt;=$AE$2)</formula>
    </cfRule>
    <cfRule type="expression" dxfId="135" priority="24" stopIfTrue="1">
      <formula>($D140&lt;$AE$2)</formula>
    </cfRule>
  </conditionalFormatting>
  <conditionalFormatting sqref="AB140">
    <cfRule type="expression" dxfId="134" priority="19" stopIfTrue="1">
      <formula>($C140&gt;0)</formula>
    </cfRule>
    <cfRule type="expression" dxfId="133" priority="20" stopIfTrue="1">
      <formula>AND($C140&lt;0,$C140&gt;=$AB$2)</formula>
    </cfRule>
    <cfRule type="expression" dxfId="132" priority="21" stopIfTrue="1">
      <formula>($C140&lt;$AB$2)</formula>
    </cfRule>
  </conditionalFormatting>
  <conditionalFormatting sqref="AB230">
    <cfRule type="expression" dxfId="131" priority="16" stopIfTrue="1">
      <formula>($C230&gt;0)</formula>
    </cfRule>
    <cfRule type="expression" dxfId="130" priority="17" stopIfTrue="1">
      <formula>AND($C230&lt;0,$C230&gt;=$AB$2)</formula>
    </cfRule>
    <cfRule type="expression" dxfId="129" priority="18" stopIfTrue="1">
      <formula>($C230&lt;$AB$2)</formula>
    </cfRule>
  </conditionalFormatting>
  <conditionalFormatting sqref="AE230">
    <cfRule type="expression" dxfId="128" priority="13" stopIfTrue="1">
      <formula>($D230&gt;0)</formula>
    </cfRule>
    <cfRule type="expression" dxfId="127" priority="14" stopIfTrue="1">
      <formula>AND($D230&lt;0,$D230&gt;=$AE$2)</formula>
    </cfRule>
    <cfRule type="expression" dxfId="126" priority="15" stopIfTrue="1">
      <formula>($D230&lt;$AE$2)</formula>
    </cfRule>
  </conditionalFormatting>
  <conditionalFormatting sqref="AB230">
    <cfRule type="expression" dxfId="125" priority="10" stopIfTrue="1">
      <formula>($C230&gt;0)</formula>
    </cfRule>
    <cfRule type="expression" dxfId="124" priority="11" stopIfTrue="1">
      <formula>AND($C230&lt;0,$C230&gt;=$AB$2)</formula>
    </cfRule>
    <cfRule type="expression" dxfId="123" priority="12" stopIfTrue="1">
      <formula>($C230&lt;$AB$2)</formula>
    </cfRule>
  </conditionalFormatting>
  <conditionalFormatting sqref="AE230">
    <cfRule type="expression" dxfId="122" priority="7" stopIfTrue="1">
      <formula>($D230&gt;0)</formula>
    </cfRule>
    <cfRule type="expression" dxfId="121" priority="8" stopIfTrue="1">
      <formula>AND($D230&lt;0,$D230&gt;=$AE$2)</formula>
    </cfRule>
    <cfRule type="expression" dxfId="120" priority="9" stopIfTrue="1">
      <formula>($D230&lt;$AE$2)</formula>
    </cfRule>
  </conditionalFormatting>
  <conditionalFormatting sqref="AE300">
    <cfRule type="expression" dxfId="119" priority="4" stopIfTrue="1">
      <formula>($D300&gt;0)</formula>
    </cfRule>
    <cfRule type="expression" dxfId="118" priority="5" stopIfTrue="1">
      <formula>AND($D300&lt;0,$D300&gt;=$AE$2)</formula>
    </cfRule>
    <cfRule type="expression" dxfId="117" priority="6" stopIfTrue="1">
      <formula>($D300&lt;$AE$2)</formula>
    </cfRule>
  </conditionalFormatting>
  <conditionalFormatting sqref="AE302">
    <cfRule type="expression" dxfId="116" priority="1" stopIfTrue="1">
      <formula>($D302&gt;0)</formula>
    </cfRule>
    <cfRule type="expression" dxfId="115" priority="2" stopIfTrue="1">
      <formula>AND($D302&lt;0,$D302&gt;=$AE$2)</formula>
    </cfRule>
    <cfRule type="expression" dxfId="114" priority="3" stopIfTrue="1">
      <formula>($D302&lt;$AE$2)</formula>
    </cfRule>
  </conditionalFormatting>
  <printOptions horizontalCentered="1"/>
  <pageMargins left="0" right="0" top="0" bottom="0" header="0.11811023622047245" footer="7.874015748031496E-2"/>
  <pageSetup paperSize="9" scale="44" fitToHeight="2" orientation="portrait" r:id="rId1"/>
  <headerFooter alignWithMargins="0">
    <oddHeader>&amp;CFICHE SUIVEUSE&amp;R&amp;D - &amp;T</oddHeader>
  </headerFooter>
  <rowBreaks count="1" manualBreakCount="1">
    <brk id="201" min="5" max="25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435"/>
  <sheetViews>
    <sheetView showGridLines="0" topLeftCell="E7" zoomScale="70" zoomScaleNormal="70" zoomScaleSheetLayoutView="75" workbookViewId="0">
      <pane ySplit="9" topLeftCell="A16" activePane="bottomLeft" state="frozen"/>
      <selection activeCell="W25" sqref="W25"/>
      <selection pane="bottomLeft" activeCell="X16" sqref="X16"/>
    </sheetView>
  </sheetViews>
  <sheetFormatPr baseColWidth="10" defaultRowHeight="14.25" outlineLevelRow="2" outlineLevelCol="1" x14ac:dyDescent="0.2"/>
  <cols>
    <col min="1" max="1" width="24.85546875" style="8" hidden="1" customWidth="1" outlineLevel="1"/>
    <col min="2" max="2" width="30.42578125" style="8" hidden="1" customWidth="1" outlineLevel="1"/>
    <col min="3" max="4" width="12.5703125" style="8" hidden="1" customWidth="1" outlineLevel="1"/>
    <col min="5" max="5" width="2.7109375" style="8" customWidth="1" collapsed="1"/>
    <col min="6" max="6" width="35.28515625" style="7" customWidth="1"/>
    <col min="7" max="7" width="1.140625" style="8" customWidth="1"/>
    <col min="8" max="10" width="10.140625" style="8" customWidth="1"/>
    <col min="11" max="11" width="10.140625" style="9" customWidth="1" outlineLevel="1"/>
    <col min="12" max="12" width="10.5703125" style="9" customWidth="1"/>
    <col min="13" max="24" width="8.7109375" style="8" customWidth="1"/>
    <col min="25" max="25" width="10.140625" style="8" customWidth="1"/>
    <col min="26" max="26" width="1.140625" style="8" customWidth="1"/>
    <col min="27" max="27" width="10.140625" style="8" customWidth="1"/>
    <col min="28" max="28" width="8.7109375" style="11" customWidth="1"/>
    <col min="29" max="29" width="1.140625" style="8" customWidth="1"/>
    <col min="30" max="30" width="10.140625" style="8" customWidth="1" outlineLevel="1"/>
    <col min="31" max="31" width="8.7109375" style="11" customWidth="1" outlineLevel="1"/>
    <col min="32" max="16384" width="11.42578125" style="8"/>
  </cols>
  <sheetData>
    <row r="1" spans="1:31" ht="14.25" hidden="1" customHeight="1" outlineLevel="1" x14ac:dyDescent="0.2">
      <c r="A1" s="7" t="s">
        <v>3</v>
      </c>
      <c r="B1" s="7"/>
      <c r="I1" s="10" t="s">
        <v>15</v>
      </c>
      <c r="M1" s="10" t="s">
        <v>5</v>
      </c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321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15</v>
      </c>
      <c r="AB1" s="53"/>
      <c r="AE1" s="53"/>
    </row>
    <row r="2" spans="1:31" ht="12.75" hidden="1" customHeight="1" outlineLevel="1" x14ac:dyDescent="0.2">
      <c r="A2" s="7" t="s">
        <v>4</v>
      </c>
      <c r="B2" s="7"/>
      <c r="H2" s="12" t="s">
        <v>27</v>
      </c>
      <c r="I2" s="12" t="s">
        <v>28</v>
      </c>
      <c r="J2" s="12" t="s">
        <v>29</v>
      </c>
      <c r="K2" s="13" t="s">
        <v>32</v>
      </c>
      <c r="L2" s="13" t="s">
        <v>33</v>
      </c>
      <c r="M2" s="14" t="b">
        <v>1</v>
      </c>
      <c r="N2" s="14" t="b">
        <v>1</v>
      </c>
      <c r="O2" s="14" t="b">
        <v>1</v>
      </c>
      <c r="P2" s="14" t="b">
        <v>1</v>
      </c>
      <c r="Q2" s="14" t="b">
        <v>1</v>
      </c>
      <c r="R2" s="14" t="b">
        <v>1</v>
      </c>
      <c r="S2" s="14" t="b">
        <v>1</v>
      </c>
      <c r="T2" s="14" t="b">
        <v>1</v>
      </c>
      <c r="U2" s="14" t="b">
        <v>1</v>
      </c>
      <c r="V2" s="14" t="b">
        <v>1</v>
      </c>
      <c r="W2" s="14" t="b">
        <v>1</v>
      </c>
      <c r="X2" s="14" t="b">
        <v>1</v>
      </c>
      <c r="Y2" s="12" t="s">
        <v>33</v>
      </c>
      <c r="AA2" s="128"/>
      <c r="AB2" s="129">
        <v>-0.15</v>
      </c>
      <c r="AD2" s="128"/>
      <c r="AE2" s="129">
        <v>-0.15</v>
      </c>
    </row>
    <row r="3" spans="1:31" ht="14.25" hidden="1" customHeight="1" outlineLevel="1" x14ac:dyDescent="0.15">
      <c r="A3" s="7" t="s">
        <v>417</v>
      </c>
      <c r="B3" s="7"/>
      <c r="H3" s="127" t="s">
        <v>459</v>
      </c>
      <c r="I3" s="127" t="s">
        <v>459</v>
      </c>
      <c r="J3" s="127" t="s">
        <v>459</v>
      </c>
      <c r="K3" s="130" t="s">
        <v>460</v>
      </c>
      <c r="L3" s="130" t="s">
        <v>461</v>
      </c>
      <c r="M3" s="127" t="s">
        <v>459</v>
      </c>
      <c r="N3" s="127" t="s">
        <v>459</v>
      </c>
      <c r="O3" s="127" t="s">
        <v>459</v>
      </c>
      <c r="P3" s="127" t="s">
        <v>459</v>
      </c>
      <c r="Q3" s="127" t="s">
        <v>459</v>
      </c>
      <c r="R3" s="127" t="s">
        <v>459</v>
      </c>
      <c r="S3" s="127" t="s">
        <v>459</v>
      </c>
      <c r="T3" s="127" t="s">
        <v>459</v>
      </c>
      <c r="U3" s="127" t="s">
        <v>459</v>
      </c>
      <c r="V3" s="127" t="s">
        <v>459</v>
      </c>
      <c r="W3" s="127" t="s">
        <v>459</v>
      </c>
      <c r="X3" s="127" t="s">
        <v>459</v>
      </c>
      <c r="Y3" s="127" t="s">
        <v>459</v>
      </c>
      <c r="AB3" s="53"/>
      <c r="AE3" s="53"/>
    </row>
    <row r="4" spans="1:31" ht="14.25" hidden="1" customHeight="1" outlineLevel="1" x14ac:dyDescent="0.15">
      <c r="A4" s="15" t="s">
        <v>462</v>
      </c>
      <c r="B4" s="7"/>
      <c r="H4" s="127" t="s">
        <v>463</v>
      </c>
      <c r="I4" s="127" t="s">
        <v>463</v>
      </c>
      <c r="J4" s="127" t="s">
        <v>463</v>
      </c>
      <c r="K4" s="130" t="s">
        <v>464</v>
      </c>
      <c r="L4" s="130" t="s">
        <v>465</v>
      </c>
      <c r="M4" s="127" t="s">
        <v>463</v>
      </c>
      <c r="N4" s="127" t="s">
        <v>463</v>
      </c>
      <c r="O4" s="127" t="s">
        <v>463</v>
      </c>
      <c r="P4" s="127" t="s">
        <v>463</v>
      </c>
      <c r="Q4" s="127" t="s">
        <v>463</v>
      </c>
      <c r="R4" s="127" t="s">
        <v>463</v>
      </c>
      <c r="S4" s="127" t="s">
        <v>463</v>
      </c>
      <c r="T4" s="127" t="s">
        <v>463</v>
      </c>
      <c r="U4" s="127" t="s">
        <v>463</v>
      </c>
      <c r="V4" s="127" t="s">
        <v>463</v>
      </c>
      <c r="W4" s="127" t="s">
        <v>463</v>
      </c>
      <c r="X4" s="127" t="s">
        <v>463</v>
      </c>
      <c r="Y4" s="127" t="s">
        <v>463</v>
      </c>
      <c r="AA4" s="128"/>
      <c r="AB4" s="131"/>
      <c r="AD4" s="128"/>
      <c r="AE4" s="131"/>
    </row>
    <row r="5" spans="1:31" ht="14.25" hidden="1" customHeight="1" outlineLevel="1" x14ac:dyDescent="0.15">
      <c r="B5" s="7"/>
      <c r="H5" s="127" t="s">
        <v>466</v>
      </c>
      <c r="I5" s="127" t="s">
        <v>467</v>
      </c>
      <c r="J5" s="127" t="s">
        <v>467</v>
      </c>
      <c r="K5" s="130" t="s">
        <v>468</v>
      </c>
      <c r="L5" s="130" t="s">
        <v>469</v>
      </c>
      <c r="M5" s="127" t="s">
        <v>468</v>
      </c>
      <c r="N5" s="127" t="s">
        <v>470</v>
      </c>
      <c r="O5" s="127" t="s">
        <v>471</v>
      </c>
      <c r="P5" s="127" t="s">
        <v>472</v>
      </c>
      <c r="Q5" s="127" t="s">
        <v>473</v>
      </c>
      <c r="R5" s="127" t="s">
        <v>474</v>
      </c>
      <c r="S5" s="127" t="s">
        <v>475</v>
      </c>
      <c r="T5" s="127" t="s">
        <v>476</v>
      </c>
      <c r="U5" s="127" t="s">
        <v>477</v>
      </c>
      <c r="V5" s="127" t="s">
        <v>478</v>
      </c>
      <c r="W5" s="127" t="s">
        <v>479</v>
      </c>
      <c r="X5" s="127" t="s">
        <v>480</v>
      </c>
      <c r="Y5" s="127" t="s">
        <v>480</v>
      </c>
      <c r="AA5" s="128"/>
      <c r="AB5" s="131"/>
      <c r="AD5" s="128"/>
      <c r="AE5" s="131"/>
    </row>
    <row r="6" spans="1:31" ht="14.25" hidden="1" customHeight="1" outlineLevel="1" x14ac:dyDescent="0.2">
      <c r="G6" s="7"/>
      <c r="I6" s="9" t="s">
        <v>481</v>
      </c>
      <c r="J6" s="9" t="s">
        <v>481</v>
      </c>
      <c r="K6" s="9" t="s">
        <v>481</v>
      </c>
      <c r="L6" s="9" t="s">
        <v>481</v>
      </c>
      <c r="AB6" s="53"/>
      <c r="AE6" s="53"/>
    </row>
    <row r="7" spans="1:31" s="16" customFormat="1" ht="15.75" collapsed="1" x14ac:dyDescent="0.2">
      <c r="F7" s="6" t="s">
        <v>390</v>
      </c>
      <c r="K7" s="18"/>
      <c r="L7" s="18"/>
      <c r="M7" s="19"/>
      <c r="AB7" s="20"/>
      <c r="AE7" s="20"/>
    </row>
    <row r="8" spans="1:31" s="21" customFormat="1" ht="7.5" customHeight="1" x14ac:dyDescent="0.2">
      <c r="F8" s="138"/>
      <c r="G8" s="16"/>
      <c r="J8" s="24"/>
      <c r="K8" s="23"/>
      <c r="L8" s="23"/>
      <c r="Z8" s="16"/>
      <c r="AA8" s="24"/>
      <c r="AB8" s="22"/>
      <c r="AD8" s="24"/>
      <c r="AE8" s="22"/>
    </row>
    <row r="9" spans="1:31" ht="12.75" customHeight="1" x14ac:dyDescent="0.2">
      <c r="F9" s="300" t="s">
        <v>427</v>
      </c>
      <c r="G9" s="16"/>
      <c r="H9" s="135" t="s">
        <v>1</v>
      </c>
      <c r="I9" s="26" t="s">
        <v>1</v>
      </c>
      <c r="J9" s="26" t="s">
        <v>1</v>
      </c>
      <c r="K9" s="136" t="s">
        <v>380</v>
      </c>
      <c r="L9" s="136" t="s">
        <v>449</v>
      </c>
      <c r="M9" s="27" t="s">
        <v>1</v>
      </c>
      <c r="N9" s="27" t="s">
        <v>1</v>
      </c>
      <c r="O9" s="27" t="s">
        <v>1</v>
      </c>
      <c r="P9" s="27" t="s">
        <v>1</v>
      </c>
      <c r="Q9" s="27" t="s">
        <v>1</v>
      </c>
      <c r="R9" s="27" t="s">
        <v>1</v>
      </c>
      <c r="S9" s="27" t="s">
        <v>1</v>
      </c>
      <c r="T9" s="27" t="s">
        <v>1</v>
      </c>
      <c r="U9" s="27" t="s">
        <v>1</v>
      </c>
      <c r="V9" s="27" t="s">
        <v>1</v>
      </c>
      <c r="W9" s="27" t="s">
        <v>1</v>
      </c>
      <c r="X9" s="27" t="s">
        <v>1</v>
      </c>
      <c r="Y9" s="139" t="s">
        <v>1</v>
      </c>
      <c r="Z9" s="16"/>
      <c r="AA9" s="296" t="s">
        <v>482</v>
      </c>
      <c r="AB9" s="298" t="s">
        <v>483</v>
      </c>
      <c r="AC9" s="25"/>
      <c r="AD9" s="296" t="s">
        <v>484</v>
      </c>
      <c r="AE9" s="298" t="s">
        <v>485</v>
      </c>
    </row>
    <row r="10" spans="1:31" ht="12.75" customHeight="1" x14ac:dyDescent="0.2">
      <c r="F10" s="300"/>
      <c r="G10" s="16"/>
      <c r="H10" s="28" t="s">
        <v>486</v>
      </c>
      <c r="I10" s="28" t="s">
        <v>487</v>
      </c>
      <c r="J10" s="28" t="s">
        <v>487</v>
      </c>
      <c r="K10" s="137" t="s">
        <v>450</v>
      </c>
      <c r="L10" s="137" t="s">
        <v>450</v>
      </c>
      <c r="M10" s="29" t="s">
        <v>5</v>
      </c>
      <c r="N10" s="29" t="s">
        <v>6</v>
      </c>
      <c r="O10" s="29" t="s">
        <v>7</v>
      </c>
      <c r="P10" s="29" t="s">
        <v>8</v>
      </c>
      <c r="Q10" s="29" t="s">
        <v>9</v>
      </c>
      <c r="R10" s="29" t="s">
        <v>10</v>
      </c>
      <c r="S10" s="29" t="s">
        <v>321</v>
      </c>
      <c r="T10" s="29" t="s">
        <v>11</v>
      </c>
      <c r="U10" s="29" t="s">
        <v>12</v>
      </c>
      <c r="V10" s="29" t="s">
        <v>13</v>
      </c>
      <c r="W10" s="29" t="s">
        <v>14</v>
      </c>
      <c r="X10" s="29" t="s">
        <v>15</v>
      </c>
      <c r="Y10" s="140" t="s">
        <v>488</v>
      </c>
      <c r="Z10" s="16"/>
      <c r="AA10" s="297"/>
      <c r="AB10" s="299"/>
      <c r="AC10" s="25"/>
      <c r="AD10" s="297"/>
      <c r="AE10" s="299"/>
    </row>
    <row r="11" spans="1:31" ht="18" hidden="1" customHeight="1" outlineLevel="1" x14ac:dyDescent="0.2">
      <c r="A11" s="30" t="s">
        <v>2</v>
      </c>
      <c r="B11" s="30" t="s">
        <v>230</v>
      </c>
      <c r="C11" s="4">
        <v>-5.8366623177810176E-2</v>
      </c>
      <c r="D11" s="4">
        <v>1.7206296660989412E-2</v>
      </c>
      <c r="F11" s="94" t="s">
        <v>280</v>
      </c>
      <c r="G11" s="16"/>
      <c r="H11" s="59">
        <v>646.08299999999997</v>
      </c>
      <c r="I11" s="59">
        <v>787.28200000000004</v>
      </c>
      <c r="J11" s="59">
        <v>787.28200000000004</v>
      </c>
      <c r="K11" s="86">
        <v>742.71900000000005</v>
      </c>
      <c r="L11" s="86">
        <v>687.53899999999999</v>
      </c>
      <c r="M11" s="59">
        <v>60.027000000000001</v>
      </c>
      <c r="N11" s="59">
        <v>67.462999999999994</v>
      </c>
      <c r="O11" s="59">
        <v>59.399999999999991</v>
      </c>
      <c r="P11" s="59">
        <v>55.597000000000008</v>
      </c>
      <c r="Q11" s="59">
        <v>62.799999999999983</v>
      </c>
      <c r="R11" s="59">
        <v>60.814999999999998</v>
      </c>
      <c r="S11" s="59">
        <v>60.629000000000019</v>
      </c>
      <c r="T11" s="59">
        <v>53.477000000000032</v>
      </c>
      <c r="U11" s="59">
        <v>52.357000000000028</v>
      </c>
      <c r="V11" s="59">
        <v>54.065999999999917</v>
      </c>
      <c r="W11" s="59">
        <v>51.427999999999997</v>
      </c>
      <c r="X11" s="59">
        <v>61.311000000000035</v>
      </c>
      <c r="Y11" s="59">
        <v>699.37</v>
      </c>
      <c r="Z11" s="16"/>
      <c r="AA11" s="59">
        <v>742.71900000000005</v>
      </c>
      <c r="AB11" s="60">
        <v>-43.35</v>
      </c>
      <c r="AC11" s="31"/>
      <c r="AD11" s="59">
        <v>687.5390000000001</v>
      </c>
      <c r="AE11" s="60">
        <v>11.83</v>
      </c>
    </row>
    <row r="12" spans="1:31" ht="18" hidden="1" customHeight="1" outlineLevel="1" x14ac:dyDescent="0.2">
      <c r="A12" s="30" t="s">
        <v>2</v>
      </c>
      <c r="B12" s="30" t="s">
        <v>233</v>
      </c>
      <c r="C12" s="4">
        <v>-1.2408625693737994E-2</v>
      </c>
      <c r="D12" s="4">
        <v>3.7189896851740706E-2</v>
      </c>
      <c r="F12" s="94" t="s">
        <v>281</v>
      </c>
      <c r="G12" s="16"/>
      <c r="H12" s="59">
        <v>1467.9369999999999</v>
      </c>
      <c r="I12" s="59">
        <v>1570.89</v>
      </c>
      <c r="J12" s="59">
        <v>1570.89</v>
      </c>
      <c r="K12" s="86">
        <v>1471.557</v>
      </c>
      <c r="L12" s="86">
        <v>1401.1869999999999</v>
      </c>
      <c r="M12" s="59">
        <v>125.783</v>
      </c>
      <c r="N12" s="59">
        <v>110.56699999999999</v>
      </c>
      <c r="O12" s="59">
        <v>127.97</v>
      </c>
      <c r="P12" s="59">
        <v>125.80599999999998</v>
      </c>
      <c r="Q12" s="59">
        <v>122.93299999999999</v>
      </c>
      <c r="R12" s="59">
        <v>123.04399999999998</v>
      </c>
      <c r="S12" s="59">
        <v>121.7940000000001</v>
      </c>
      <c r="T12" s="59">
        <v>116.91399999999999</v>
      </c>
      <c r="U12" s="59">
        <v>106.76699999999994</v>
      </c>
      <c r="V12" s="59">
        <v>126.98700000000008</v>
      </c>
      <c r="W12" s="59">
        <v>120.05499999999984</v>
      </c>
      <c r="X12" s="59">
        <v>124.67700000000013</v>
      </c>
      <c r="Y12" s="59">
        <v>1453.297</v>
      </c>
      <c r="Z12" s="16"/>
      <c r="AA12" s="59">
        <v>1471.557</v>
      </c>
      <c r="AB12" s="60">
        <v>-18.260000000000002</v>
      </c>
      <c r="AC12" s="31"/>
      <c r="AD12" s="59">
        <v>1401.1869999999999</v>
      </c>
      <c r="AE12" s="60">
        <v>52.11</v>
      </c>
    </row>
    <row r="13" spans="1:31" ht="18" hidden="1" customHeight="1" outlineLevel="1" x14ac:dyDescent="0.2">
      <c r="A13" s="30" t="s">
        <v>2</v>
      </c>
      <c r="B13" s="30" t="s">
        <v>229</v>
      </c>
      <c r="C13" s="4">
        <v>6.5378541992022393E-2</v>
      </c>
      <c r="D13" s="4">
        <v>9.993664871713652E-3</v>
      </c>
      <c r="F13" s="94" t="s">
        <v>282</v>
      </c>
      <c r="G13" s="16"/>
      <c r="H13" s="59">
        <v>3279.11</v>
      </c>
      <c r="I13" s="59">
        <v>3205.627</v>
      </c>
      <c r="J13" s="59">
        <v>3205.627</v>
      </c>
      <c r="K13" s="86">
        <v>2992.8780000000002</v>
      </c>
      <c r="L13" s="86">
        <v>3157</v>
      </c>
      <c r="M13" s="59">
        <v>248.626</v>
      </c>
      <c r="N13" s="59">
        <v>261.95899999999995</v>
      </c>
      <c r="O13" s="59">
        <v>205.43100000000004</v>
      </c>
      <c r="P13" s="59">
        <v>324.99000000000012</v>
      </c>
      <c r="Q13" s="59">
        <v>274.62899999999991</v>
      </c>
      <c r="R13" s="59">
        <v>260.67699999999991</v>
      </c>
      <c r="S13" s="59">
        <v>262.39900000000011</v>
      </c>
      <c r="T13" s="59">
        <v>257.27499999999986</v>
      </c>
      <c r="U13" s="59">
        <v>272.43100000000004</v>
      </c>
      <c r="V13" s="59">
        <v>263.45400000000018</v>
      </c>
      <c r="W13" s="59">
        <v>282.93100000000004</v>
      </c>
      <c r="X13" s="59">
        <v>273.7489999999998</v>
      </c>
      <c r="Y13" s="59">
        <v>3188.5509999999999</v>
      </c>
      <c r="Z13" s="16"/>
      <c r="AA13" s="59">
        <v>2992.8780000000002</v>
      </c>
      <c r="AB13" s="60">
        <v>195.67</v>
      </c>
      <c r="AC13" s="31"/>
      <c r="AD13" s="59">
        <v>3157</v>
      </c>
      <c r="AE13" s="60">
        <v>31.55</v>
      </c>
    </row>
    <row r="14" spans="1:31" ht="18" hidden="1" customHeight="1" outlineLevel="1" x14ac:dyDescent="0.2">
      <c r="A14" s="30" t="s">
        <v>2</v>
      </c>
      <c r="B14" s="30" t="s">
        <v>232</v>
      </c>
      <c r="C14" s="4">
        <v>-0.1829503000113212</v>
      </c>
      <c r="D14" s="4">
        <v>-8.690088455268094E-2</v>
      </c>
      <c r="F14" s="94" t="s">
        <v>283</v>
      </c>
      <c r="G14" s="16"/>
      <c r="H14" s="59">
        <v>174.01400000000001</v>
      </c>
      <c r="I14" s="59">
        <v>248.964</v>
      </c>
      <c r="J14" s="59">
        <v>248.964</v>
      </c>
      <c r="K14" s="86">
        <v>309.15499999999997</v>
      </c>
      <c r="L14" s="86">
        <v>276.637</v>
      </c>
      <c r="M14" s="59">
        <v>11.503</v>
      </c>
      <c r="N14" s="59">
        <v>27.302</v>
      </c>
      <c r="O14" s="59">
        <v>27.761999999999993</v>
      </c>
      <c r="P14" s="59">
        <v>22.816000000000003</v>
      </c>
      <c r="Q14" s="59">
        <v>23.477000000000004</v>
      </c>
      <c r="R14" s="59">
        <v>23.507999999999996</v>
      </c>
      <c r="S14" s="59">
        <v>21.924000000000007</v>
      </c>
      <c r="T14" s="59">
        <v>22.173000000000002</v>
      </c>
      <c r="U14" s="59">
        <v>19.935000000000002</v>
      </c>
      <c r="V14" s="59">
        <v>18.507000000000005</v>
      </c>
      <c r="W14" s="59">
        <v>15.387999999999977</v>
      </c>
      <c r="X14" s="59">
        <v>18.302000000000021</v>
      </c>
      <c r="Y14" s="59">
        <v>252.59700000000001</v>
      </c>
      <c r="Z14" s="16"/>
      <c r="AA14" s="59">
        <v>309.15499999999997</v>
      </c>
      <c r="AB14" s="60">
        <v>-56.56</v>
      </c>
      <c r="AC14" s="31"/>
      <c r="AD14" s="59">
        <v>276.637</v>
      </c>
      <c r="AE14" s="60">
        <v>-24.04</v>
      </c>
    </row>
    <row r="15" spans="1:31" ht="18" hidden="1" customHeight="1" outlineLevel="1" x14ac:dyDescent="0.2">
      <c r="A15" s="30" t="s">
        <v>2</v>
      </c>
      <c r="B15" s="30" t="s">
        <v>231</v>
      </c>
      <c r="C15" s="4">
        <v>-0.9771220868077829</v>
      </c>
      <c r="D15" s="4">
        <v>2</v>
      </c>
      <c r="F15" s="94" t="s">
        <v>284</v>
      </c>
      <c r="G15" s="16"/>
      <c r="H15" s="59">
        <v>3.9550000000000001</v>
      </c>
      <c r="I15" s="59">
        <v>6.7000000000000004E-2</v>
      </c>
      <c r="J15" s="59">
        <v>6.7000000000000004E-2</v>
      </c>
      <c r="K15" s="86">
        <v>4.6769999999999996</v>
      </c>
      <c r="L15" s="86">
        <v>3.5000000000000003E-2</v>
      </c>
      <c r="M15" s="59">
        <v>-3.3000000000000002E-2</v>
      </c>
      <c r="N15" s="59">
        <v>0.05</v>
      </c>
      <c r="O15" s="59">
        <v>8.9999999999999976E-3</v>
      </c>
      <c r="P15" s="59">
        <v>3.0000000000000027E-3</v>
      </c>
      <c r="Q15" s="59">
        <v>2.9999999999999992E-3</v>
      </c>
      <c r="R15" s="59">
        <v>1.9999999999999997E-2</v>
      </c>
      <c r="S15" s="59">
        <v>3.0000000000000027E-3</v>
      </c>
      <c r="T15" s="59">
        <v>3.0000000000000027E-3</v>
      </c>
      <c r="U15" s="59">
        <v>1.9999999999999997E-2</v>
      </c>
      <c r="V15" s="59">
        <v>3.0000000000000027E-3</v>
      </c>
      <c r="W15" s="59">
        <v>3.0000000000000027E-3</v>
      </c>
      <c r="X15" s="59">
        <v>2.0999999999999991E-2</v>
      </c>
      <c r="Y15" s="59">
        <v>0.105</v>
      </c>
      <c r="Z15" s="16"/>
      <c r="AA15" s="59">
        <v>4.6769999999999996</v>
      </c>
      <c r="AB15" s="60">
        <v>-4.57</v>
      </c>
      <c r="AC15" s="31"/>
      <c r="AD15" s="59">
        <v>3.5000000000000003E-2</v>
      </c>
      <c r="AE15" s="60">
        <v>7.0000000000000007E-2</v>
      </c>
    </row>
    <row r="16" spans="1:31" ht="18" customHeight="1" collapsed="1" x14ac:dyDescent="0.2">
      <c r="A16" s="30" t="s">
        <v>2</v>
      </c>
      <c r="B16" s="30" t="s">
        <v>203</v>
      </c>
      <c r="C16" s="4">
        <v>1.307747767130708E-2</v>
      </c>
      <c r="D16" s="4">
        <v>1.2950895607306825E-2</v>
      </c>
      <c r="E16" s="9"/>
      <c r="F16" s="51" t="s">
        <v>285</v>
      </c>
      <c r="G16" s="16"/>
      <c r="H16" s="61">
        <v>5571.0990000000002</v>
      </c>
      <c r="I16" s="61">
        <v>5812.83</v>
      </c>
      <c r="J16" s="61">
        <v>5812.83</v>
      </c>
      <c r="K16" s="86">
        <v>5521.7070000000003</v>
      </c>
      <c r="L16" s="86">
        <v>5522.3980000000001</v>
      </c>
      <c r="M16" s="61">
        <v>445.90600000000001</v>
      </c>
      <c r="N16" s="61">
        <v>467.34099999999995</v>
      </c>
      <c r="O16" s="61">
        <v>420.572</v>
      </c>
      <c r="P16" s="61">
        <v>529.21199999999999</v>
      </c>
      <c r="Q16" s="61">
        <v>483.8420000000001</v>
      </c>
      <c r="R16" s="61">
        <v>468.06399999999985</v>
      </c>
      <c r="S16" s="61">
        <v>466.74900000000025</v>
      </c>
      <c r="T16" s="61">
        <v>449.84199999999964</v>
      </c>
      <c r="U16" s="61">
        <v>451.50999999999976</v>
      </c>
      <c r="V16" s="61">
        <v>463.01700000000073</v>
      </c>
      <c r="W16" s="61">
        <v>469.80499999999938</v>
      </c>
      <c r="X16" s="61">
        <v>478.0600000000004</v>
      </c>
      <c r="Y16" s="61">
        <v>5593.92</v>
      </c>
      <c r="Z16" s="16"/>
      <c r="AA16" s="61">
        <v>5521.7069999999994</v>
      </c>
      <c r="AB16" s="60">
        <v>72.209999999999994</v>
      </c>
      <c r="AD16" s="61">
        <v>5522.3980000000001</v>
      </c>
      <c r="AE16" s="60">
        <v>71.52</v>
      </c>
    </row>
    <row r="17" spans="1:33" ht="18" customHeight="1" x14ac:dyDescent="0.2">
      <c r="A17" s="30" t="s">
        <v>2</v>
      </c>
      <c r="B17" s="30" t="s">
        <v>31</v>
      </c>
      <c r="C17" s="4">
        <v>0</v>
      </c>
      <c r="D17" s="4">
        <v>0</v>
      </c>
      <c r="F17" s="51" t="s">
        <v>286</v>
      </c>
      <c r="G17" s="16"/>
      <c r="H17" s="61">
        <v>-7.3999999999999996E-2</v>
      </c>
      <c r="I17" s="61">
        <v>0.20699999999999999</v>
      </c>
      <c r="J17" s="61">
        <v>0.20699999999999999</v>
      </c>
      <c r="K17" s="86">
        <v>0</v>
      </c>
      <c r="L17" s="86">
        <v>0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61">
        <v>0</v>
      </c>
      <c r="W17" s="61">
        <v>0</v>
      </c>
      <c r="X17" s="61">
        <v>0</v>
      </c>
      <c r="Y17" s="61">
        <v>0</v>
      </c>
      <c r="Z17" s="16"/>
      <c r="AA17" s="61">
        <v>0</v>
      </c>
      <c r="AB17" s="60">
        <v>0</v>
      </c>
      <c r="AD17" s="61">
        <v>0</v>
      </c>
      <c r="AE17" s="60">
        <v>0</v>
      </c>
    </row>
    <row r="18" spans="1:33" s="7" customFormat="1" ht="18" customHeight="1" x14ac:dyDescent="0.2">
      <c r="A18" s="32"/>
      <c r="B18" s="32"/>
      <c r="C18" s="4">
        <v>1.307747767130708E-2</v>
      </c>
      <c r="D18" s="4">
        <v>1.2950895607306825E-2</v>
      </c>
      <c r="E18" s="8"/>
      <c r="F18" s="45" t="s">
        <v>217</v>
      </c>
      <c r="G18" s="16"/>
      <c r="H18" s="62">
        <v>5571.0250000000005</v>
      </c>
      <c r="I18" s="62">
        <v>5813.0370000000003</v>
      </c>
      <c r="J18" s="62">
        <v>5813.0370000000003</v>
      </c>
      <c r="K18" s="108">
        <v>5521.7070000000003</v>
      </c>
      <c r="L18" s="108">
        <v>5522.3980000000001</v>
      </c>
      <c r="M18" s="62">
        <v>445.90600000000001</v>
      </c>
      <c r="N18" s="62">
        <v>467.34099999999995</v>
      </c>
      <c r="O18" s="62">
        <v>420.572</v>
      </c>
      <c r="P18" s="62">
        <v>529.21199999999999</v>
      </c>
      <c r="Q18" s="62">
        <v>483.8420000000001</v>
      </c>
      <c r="R18" s="62">
        <v>468.06399999999985</v>
      </c>
      <c r="S18" s="62">
        <v>466.74900000000025</v>
      </c>
      <c r="T18" s="62">
        <v>449.84199999999964</v>
      </c>
      <c r="U18" s="62">
        <v>451.50999999999976</v>
      </c>
      <c r="V18" s="62">
        <v>463.01700000000073</v>
      </c>
      <c r="W18" s="62">
        <v>469.80499999999938</v>
      </c>
      <c r="X18" s="62">
        <v>478.0600000000004</v>
      </c>
      <c r="Y18" s="62">
        <v>5593.92</v>
      </c>
      <c r="Z18" s="16"/>
      <c r="AA18" s="62">
        <v>5521.7069999999994</v>
      </c>
      <c r="AB18" s="60">
        <v>72.209999999999994</v>
      </c>
      <c r="AD18" s="62">
        <v>5522.3980000000001</v>
      </c>
      <c r="AE18" s="60">
        <v>71.52</v>
      </c>
    </row>
    <row r="19" spans="1:33" ht="8.25" customHeight="1" x14ac:dyDescent="0.2">
      <c r="A19" s="116"/>
      <c r="F19" s="8"/>
      <c r="G19" s="16"/>
      <c r="K19" s="8"/>
      <c r="L19" s="8"/>
      <c r="Z19" s="16"/>
      <c r="AB19" s="8"/>
      <c r="AE19" s="8"/>
    </row>
    <row r="20" spans="1:33" s="7" customFormat="1" ht="18" customHeight="1" x14ac:dyDescent="0.2">
      <c r="A20" s="117" t="s">
        <v>310</v>
      </c>
      <c r="B20" s="117" t="s">
        <v>203</v>
      </c>
      <c r="C20" s="5">
        <v>0.14305486284289276</v>
      </c>
      <c r="D20" s="5">
        <v>0.18747409326424869</v>
      </c>
      <c r="F20" s="118" t="s">
        <v>326</v>
      </c>
      <c r="G20" s="16"/>
      <c r="H20" s="120">
        <v>623.49300000000005</v>
      </c>
      <c r="I20" s="120">
        <v>835.53399999999999</v>
      </c>
      <c r="J20" s="120">
        <v>835.53399999999999</v>
      </c>
      <c r="K20" s="121">
        <v>802</v>
      </c>
      <c r="L20" s="121">
        <v>772</v>
      </c>
      <c r="M20" s="120">
        <v>73.046999999999997</v>
      </c>
      <c r="N20" s="120">
        <v>86.384999999999991</v>
      </c>
      <c r="O20" s="120">
        <v>93.791000000000025</v>
      </c>
      <c r="P20" s="120">
        <v>98.839999999999975</v>
      </c>
      <c r="Q20" s="120">
        <v>50.211000000000013</v>
      </c>
      <c r="R20" s="120">
        <v>85.047000000000025</v>
      </c>
      <c r="S20" s="120">
        <v>41.833999999999946</v>
      </c>
      <c r="T20" s="120">
        <v>71.199000000000069</v>
      </c>
      <c r="U20" s="120">
        <v>85.851999999999975</v>
      </c>
      <c r="V20" s="120">
        <v>36.381999999999948</v>
      </c>
      <c r="W20" s="120">
        <v>103.13100000000009</v>
      </c>
      <c r="X20" s="120">
        <v>91.014999999999986</v>
      </c>
      <c r="Y20" s="120">
        <v>916.73400000000004</v>
      </c>
      <c r="Z20" s="16"/>
      <c r="AA20" s="120">
        <v>802</v>
      </c>
      <c r="AB20" s="60">
        <v>114.73</v>
      </c>
      <c r="AD20" s="120">
        <v>772</v>
      </c>
      <c r="AE20" s="60">
        <v>144.72999999999999</v>
      </c>
    </row>
    <row r="21" spans="1:33" ht="8.25" customHeight="1" x14ac:dyDescent="0.2">
      <c r="A21" s="116"/>
      <c r="F21" s="8"/>
      <c r="G21" s="16"/>
      <c r="K21" s="8"/>
      <c r="L21" s="8"/>
      <c r="Z21" s="16"/>
      <c r="AB21" s="8"/>
      <c r="AE21" s="8"/>
    </row>
    <row r="22" spans="1:33" ht="18" customHeight="1" x14ac:dyDescent="0.2">
      <c r="A22" s="30" t="s">
        <v>310</v>
      </c>
      <c r="B22" s="30" t="s">
        <v>115</v>
      </c>
      <c r="C22" s="4">
        <v>0</v>
      </c>
      <c r="D22" s="4">
        <v>0</v>
      </c>
      <c r="F22" s="51" t="s">
        <v>327</v>
      </c>
      <c r="G22" s="16"/>
      <c r="H22" s="61">
        <v>0</v>
      </c>
      <c r="I22" s="61">
        <v>0</v>
      </c>
      <c r="J22" s="61">
        <v>0</v>
      </c>
      <c r="K22" s="86">
        <v>0</v>
      </c>
      <c r="L22" s="86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16"/>
      <c r="AA22" s="61">
        <v>0</v>
      </c>
      <c r="AB22" s="60">
        <v>0</v>
      </c>
      <c r="AC22" s="34"/>
      <c r="AD22" s="61">
        <v>0</v>
      </c>
      <c r="AE22" s="60">
        <v>0</v>
      </c>
    </row>
    <row r="23" spans="1:33" ht="18" customHeight="1" x14ac:dyDescent="0.2">
      <c r="A23" s="30" t="s">
        <v>310</v>
      </c>
      <c r="B23" s="30" t="s">
        <v>116</v>
      </c>
      <c r="C23" s="4">
        <v>0</v>
      </c>
      <c r="D23" s="4">
        <v>0</v>
      </c>
      <c r="F23" s="51" t="s">
        <v>328</v>
      </c>
      <c r="G23" s="16"/>
      <c r="H23" s="61">
        <v>1.0549999999999999</v>
      </c>
      <c r="I23" s="61">
        <v>0</v>
      </c>
      <c r="J23" s="61">
        <v>0</v>
      </c>
      <c r="K23" s="86">
        <v>0</v>
      </c>
      <c r="L23" s="86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16"/>
      <c r="AA23" s="61">
        <v>0</v>
      </c>
      <c r="AB23" s="60">
        <v>0</v>
      </c>
      <c r="AC23" s="34"/>
      <c r="AD23" s="61">
        <v>0</v>
      </c>
      <c r="AE23" s="60">
        <v>0</v>
      </c>
    </row>
    <row r="24" spans="1:33" ht="18" hidden="1" customHeight="1" outlineLevel="1" x14ac:dyDescent="0.2">
      <c r="A24" s="46" t="s">
        <v>298</v>
      </c>
      <c r="B24" s="46" t="s">
        <v>117</v>
      </c>
      <c r="C24" s="47">
        <v>0.98039215686274517</v>
      </c>
      <c r="D24" s="47">
        <v>0.98039215686274517</v>
      </c>
      <c r="E24" s="31"/>
      <c r="F24" s="94" t="s">
        <v>329</v>
      </c>
      <c r="G24" s="16"/>
      <c r="H24" s="59">
        <v>0.79500000000000004</v>
      </c>
      <c r="I24" s="59">
        <v>8.7999999999999995E-2</v>
      </c>
      <c r="J24" s="59">
        <v>8.7999999999999995E-2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2.7E-2</v>
      </c>
      <c r="X24" s="59">
        <v>7.4999999999999997E-2</v>
      </c>
      <c r="Y24" s="59">
        <v>0.10199999999999999</v>
      </c>
      <c r="Z24" s="16"/>
      <c r="AA24" s="59">
        <v>0</v>
      </c>
      <c r="AB24" s="63">
        <v>0.1</v>
      </c>
      <c r="AC24" s="31"/>
      <c r="AD24" s="59">
        <v>0</v>
      </c>
      <c r="AE24" s="63">
        <v>0.1</v>
      </c>
    </row>
    <row r="25" spans="1:33" ht="18" customHeight="1" collapsed="1" x14ac:dyDescent="0.2">
      <c r="A25" s="32"/>
      <c r="B25" s="32"/>
      <c r="C25" s="4">
        <v>0</v>
      </c>
      <c r="D25" s="4">
        <v>0</v>
      </c>
      <c r="F25" s="51" t="s">
        <v>372</v>
      </c>
      <c r="G25" s="16"/>
      <c r="H25" s="61">
        <v>0</v>
      </c>
      <c r="I25" s="61">
        <v>0</v>
      </c>
      <c r="J25" s="61">
        <v>0</v>
      </c>
      <c r="K25" s="86">
        <v>0</v>
      </c>
      <c r="L25" s="86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16"/>
      <c r="AA25" s="61">
        <v>0</v>
      </c>
      <c r="AB25" s="60">
        <v>0</v>
      </c>
      <c r="AC25" s="34"/>
      <c r="AD25" s="61">
        <v>0</v>
      </c>
      <c r="AE25" s="60">
        <v>0</v>
      </c>
      <c r="AG25" s="48"/>
    </row>
    <row r="26" spans="1:33" ht="18" customHeight="1" x14ac:dyDescent="0.2">
      <c r="A26" s="30" t="s">
        <v>310</v>
      </c>
      <c r="B26" s="30" t="s">
        <v>330</v>
      </c>
      <c r="C26" s="4">
        <v>0</v>
      </c>
      <c r="D26" s="4">
        <v>0</v>
      </c>
      <c r="F26" s="51" t="s">
        <v>331</v>
      </c>
      <c r="G26" s="16"/>
      <c r="H26" s="61">
        <v>0</v>
      </c>
      <c r="I26" s="61">
        <v>0</v>
      </c>
      <c r="J26" s="61">
        <v>0</v>
      </c>
      <c r="K26" s="86">
        <v>0</v>
      </c>
      <c r="L26" s="86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16"/>
      <c r="AA26" s="61">
        <v>0</v>
      </c>
      <c r="AB26" s="60">
        <v>0</v>
      </c>
      <c r="AC26" s="34"/>
      <c r="AD26" s="61">
        <v>0</v>
      </c>
      <c r="AE26" s="60">
        <v>0</v>
      </c>
    </row>
    <row r="27" spans="1:33" ht="18" customHeight="1" x14ac:dyDescent="0.2">
      <c r="A27" s="30" t="s">
        <v>310</v>
      </c>
      <c r="B27" s="30" t="s">
        <v>332</v>
      </c>
      <c r="C27" s="4">
        <v>0</v>
      </c>
      <c r="D27" s="4">
        <v>0</v>
      </c>
      <c r="F27" s="51" t="s">
        <v>333</v>
      </c>
      <c r="G27" s="16"/>
      <c r="H27" s="61">
        <v>0</v>
      </c>
      <c r="I27" s="61">
        <v>0</v>
      </c>
      <c r="J27" s="61">
        <v>0</v>
      </c>
      <c r="K27" s="86">
        <v>0</v>
      </c>
      <c r="L27" s="86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16"/>
      <c r="AA27" s="61">
        <v>0</v>
      </c>
      <c r="AB27" s="60">
        <v>0</v>
      </c>
      <c r="AC27" s="34"/>
      <c r="AD27" s="61">
        <v>0</v>
      </c>
      <c r="AE27" s="60">
        <v>0</v>
      </c>
    </row>
    <row r="28" spans="1:33" ht="18" customHeight="1" x14ac:dyDescent="0.2">
      <c r="A28" s="30" t="s">
        <v>310</v>
      </c>
      <c r="B28" s="30" t="s">
        <v>335</v>
      </c>
      <c r="C28" s="4">
        <v>1.0001177532676533</v>
      </c>
      <c r="D28" s="4">
        <v>-0.61393939393939401</v>
      </c>
      <c r="F28" s="51" t="s">
        <v>336</v>
      </c>
      <c r="G28" s="16"/>
      <c r="H28" s="61">
        <v>0</v>
      </c>
      <c r="I28" s="61">
        <v>7.4790000000000001</v>
      </c>
      <c r="J28" s="61">
        <v>7.4790000000000001</v>
      </c>
      <c r="K28" s="86">
        <v>0</v>
      </c>
      <c r="L28" s="86">
        <v>66</v>
      </c>
      <c r="M28" s="61">
        <v>0</v>
      </c>
      <c r="N28" s="61">
        <v>5.665</v>
      </c>
      <c r="O28" s="61">
        <v>5.4159999999999995</v>
      </c>
      <c r="P28" s="61">
        <v>0.55000000000000071</v>
      </c>
      <c r="Q28" s="61">
        <v>1.7590000000000003</v>
      </c>
      <c r="R28" s="61">
        <v>1.7459999999999987</v>
      </c>
      <c r="S28" s="61">
        <v>0.47200000000000131</v>
      </c>
      <c r="T28" s="61">
        <v>1.3919999999999995</v>
      </c>
      <c r="U28" s="61">
        <v>3.218</v>
      </c>
      <c r="V28" s="61">
        <v>1.8610000000000007</v>
      </c>
      <c r="W28" s="61">
        <v>1.5649999999999977</v>
      </c>
      <c r="X28" s="61">
        <v>1.833000000000002</v>
      </c>
      <c r="Y28" s="61">
        <v>25.477</v>
      </c>
      <c r="Z28" s="16"/>
      <c r="AA28" s="61">
        <v>0</v>
      </c>
      <c r="AB28" s="60">
        <v>25.48</v>
      </c>
      <c r="AC28" s="34"/>
      <c r="AD28" s="61">
        <v>66</v>
      </c>
      <c r="AE28" s="60">
        <v>-40.520000000000003</v>
      </c>
    </row>
    <row r="29" spans="1:33" ht="18" customHeight="1" x14ac:dyDescent="0.2">
      <c r="A29" s="30" t="s">
        <v>310</v>
      </c>
      <c r="B29" s="30" t="s">
        <v>337</v>
      </c>
      <c r="C29" s="4">
        <v>0.99983425872213472</v>
      </c>
      <c r="D29" s="4">
        <v>0.99983425872213472</v>
      </c>
      <c r="F29" s="51" t="s">
        <v>338</v>
      </c>
      <c r="G29" s="16"/>
      <c r="H29" s="61">
        <v>0</v>
      </c>
      <c r="I29" s="61">
        <v>0</v>
      </c>
      <c r="J29" s="61">
        <v>0</v>
      </c>
      <c r="K29" s="86">
        <v>0</v>
      </c>
      <c r="L29" s="86">
        <v>0</v>
      </c>
      <c r="M29" s="61">
        <v>0</v>
      </c>
      <c r="N29" s="61">
        <v>3.4980000000000002</v>
      </c>
      <c r="O29" s="61">
        <v>1.4630000000000001</v>
      </c>
      <c r="P29" s="61">
        <v>1.79</v>
      </c>
      <c r="Q29" s="61">
        <v>1.4319999999999995</v>
      </c>
      <c r="R29" s="61">
        <v>1.4700000000000006</v>
      </c>
      <c r="S29" s="61">
        <v>2.6839999999999993</v>
      </c>
      <c r="T29" s="61">
        <v>2.1440000000000001</v>
      </c>
      <c r="U29" s="61">
        <v>2.4350000000000005</v>
      </c>
      <c r="V29" s="61">
        <v>0.45799999999999841</v>
      </c>
      <c r="W29" s="61">
        <v>2.8659999999999997</v>
      </c>
      <c r="X29" s="61">
        <v>3.8940000000000019</v>
      </c>
      <c r="Y29" s="61">
        <v>24.134</v>
      </c>
      <c r="Z29" s="16"/>
      <c r="AA29" s="61">
        <v>0</v>
      </c>
      <c r="AB29" s="60">
        <v>24.13</v>
      </c>
      <c r="AC29" s="34"/>
      <c r="AD29" s="61">
        <v>0</v>
      </c>
      <c r="AE29" s="60">
        <v>24.13</v>
      </c>
    </row>
    <row r="30" spans="1:33" ht="18" customHeight="1" x14ac:dyDescent="0.2">
      <c r="A30" s="30" t="s">
        <v>310</v>
      </c>
      <c r="B30" s="30" t="s">
        <v>458</v>
      </c>
      <c r="C30" s="4">
        <v>0</v>
      </c>
      <c r="D30" s="4">
        <v>0</v>
      </c>
      <c r="F30" s="213" t="s">
        <v>443</v>
      </c>
      <c r="G30" s="16"/>
      <c r="H30" s="61">
        <v>0</v>
      </c>
      <c r="I30" s="61">
        <v>0</v>
      </c>
      <c r="J30" s="61">
        <v>0</v>
      </c>
      <c r="K30" s="86">
        <v>0</v>
      </c>
      <c r="L30" s="86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16"/>
      <c r="AA30" s="61">
        <v>0</v>
      </c>
      <c r="AB30" s="60">
        <v>0</v>
      </c>
      <c r="AC30" s="34"/>
      <c r="AD30" s="61">
        <v>0</v>
      </c>
      <c r="AE30" s="60">
        <v>0</v>
      </c>
    </row>
    <row r="31" spans="1:33" ht="18" customHeight="1" x14ac:dyDescent="0.2">
      <c r="A31" s="30" t="s">
        <v>310</v>
      </c>
      <c r="B31" s="30" t="s">
        <v>341</v>
      </c>
      <c r="C31" s="4">
        <v>1</v>
      </c>
      <c r="D31" s="4">
        <v>1</v>
      </c>
      <c r="F31" s="51" t="s">
        <v>342</v>
      </c>
      <c r="G31" s="16"/>
      <c r="H31" s="61">
        <v>0</v>
      </c>
      <c r="I31" s="61">
        <v>0</v>
      </c>
      <c r="J31" s="61">
        <v>0</v>
      </c>
      <c r="K31" s="86">
        <v>0</v>
      </c>
      <c r="L31" s="86">
        <v>0</v>
      </c>
      <c r="M31" s="61">
        <v>0</v>
      </c>
      <c r="N31" s="61">
        <v>0</v>
      </c>
      <c r="O31" s="61">
        <v>0</v>
      </c>
      <c r="P31" s="61">
        <v>0</v>
      </c>
      <c r="Q31" s="61">
        <v>0.13</v>
      </c>
      <c r="R31" s="61">
        <v>0</v>
      </c>
      <c r="S31" s="61">
        <v>0</v>
      </c>
      <c r="T31" s="61">
        <v>0.65</v>
      </c>
      <c r="U31" s="61">
        <v>0.37999999999999989</v>
      </c>
      <c r="V31" s="61">
        <v>0</v>
      </c>
      <c r="W31" s="61">
        <v>0</v>
      </c>
      <c r="X31" s="61">
        <v>0</v>
      </c>
      <c r="Y31" s="61">
        <v>1.1599999999999999</v>
      </c>
      <c r="Z31" s="16"/>
      <c r="AA31" s="61">
        <v>0</v>
      </c>
      <c r="AB31" s="60">
        <v>1.1599999999999999</v>
      </c>
      <c r="AC31" s="34"/>
      <c r="AD31" s="61">
        <v>0</v>
      </c>
      <c r="AE31" s="60">
        <v>1.1599999999999999</v>
      </c>
    </row>
    <row r="32" spans="1:33" ht="18" customHeight="1" x14ac:dyDescent="0.2">
      <c r="A32" s="32"/>
      <c r="B32" s="32"/>
      <c r="C32" s="4">
        <v>568579452955525.13</v>
      </c>
      <c r="D32" s="4">
        <v>649805089092028.75</v>
      </c>
      <c r="F32" s="51" t="s">
        <v>343</v>
      </c>
      <c r="G32" s="16"/>
      <c r="H32" s="61">
        <v>-4.2632564145606011E-14</v>
      </c>
      <c r="I32" s="61">
        <v>18.917000000000009</v>
      </c>
      <c r="J32" s="61">
        <v>18.917000000000009</v>
      </c>
      <c r="K32" s="86">
        <v>2.8421709430404007E-14</v>
      </c>
      <c r="L32" s="86">
        <v>-2.4868995751603507E-14</v>
      </c>
      <c r="M32" s="61">
        <v>7.1054273576010019E-15</v>
      </c>
      <c r="N32" s="61">
        <v>9.7240000000000091</v>
      </c>
      <c r="O32" s="61">
        <v>1.9399999999999586</v>
      </c>
      <c r="P32" s="61">
        <v>0.75400000000005729</v>
      </c>
      <c r="Q32" s="61">
        <v>0.19499999999998041</v>
      </c>
      <c r="R32" s="61">
        <v>-3.1086244689504383E-15</v>
      </c>
      <c r="S32" s="61">
        <v>5.3290705182007514E-14</v>
      </c>
      <c r="T32" s="61">
        <v>-5.9952043329758453E-14</v>
      </c>
      <c r="U32" s="61">
        <v>1.4339999999999646</v>
      </c>
      <c r="V32" s="61">
        <v>0.37500000000005729</v>
      </c>
      <c r="W32" s="61">
        <v>0.94199999999992112</v>
      </c>
      <c r="X32" s="61">
        <v>0.7970000000000006</v>
      </c>
      <c r="Y32" s="61">
        <v>16.160999999999945</v>
      </c>
      <c r="Z32" s="16"/>
      <c r="AA32" s="61">
        <v>2.8421709430404007E-14</v>
      </c>
      <c r="AB32" s="60">
        <v>16.16</v>
      </c>
      <c r="AC32" s="34"/>
      <c r="AD32" s="61">
        <v>-2.4868995751603507E-14</v>
      </c>
      <c r="AE32" s="60">
        <v>16.16</v>
      </c>
    </row>
    <row r="33" spans="1:33" s="7" customFormat="1" ht="18" customHeight="1" x14ac:dyDescent="0.2">
      <c r="A33" s="32"/>
      <c r="B33" s="32"/>
      <c r="C33" s="5">
        <v>2354890023905526</v>
      </c>
      <c r="D33" s="5">
        <v>1.4090909090909098E-2</v>
      </c>
      <c r="F33" s="118" t="s">
        <v>373</v>
      </c>
      <c r="G33" s="16"/>
      <c r="H33" s="120">
        <v>1.0549999999999573</v>
      </c>
      <c r="I33" s="120">
        <v>26.396000000000008</v>
      </c>
      <c r="J33" s="120">
        <v>26.396000000000008</v>
      </c>
      <c r="K33" s="121">
        <v>2.8421709430404007E-14</v>
      </c>
      <c r="L33" s="121">
        <v>65.999999999999972</v>
      </c>
      <c r="M33" s="120">
        <v>7.1054273576010019E-15</v>
      </c>
      <c r="N33" s="120">
        <v>18.887000000000008</v>
      </c>
      <c r="O33" s="120">
        <v>8.8189999999999582</v>
      </c>
      <c r="P33" s="120">
        <v>3.094000000000058</v>
      </c>
      <c r="Q33" s="120">
        <v>3.51599999999998</v>
      </c>
      <c r="R33" s="120">
        <v>3.2159999999999962</v>
      </c>
      <c r="S33" s="120">
        <v>3.1560000000000539</v>
      </c>
      <c r="T33" s="120">
        <v>4.1859999999999395</v>
      </c>
      <c r="U33" s="120">
        <v>7.466999999999965</v>
      </c>
      <c r="V33" s="120">
        <v>2.6940000000000563</v>
      </c>
      <c r="W33" s="120">
        <v>5.3729999999999185</v>
      </c>
      <c r="X33" s="120">
        <v>6.5240000000000045</v>
      </c>
      <c r="Y33" s="120">
        <v>66.931999999999945</v>
      </c>
      <c r="Z33" s="16"/>
      <c r="AA33" s="120">
        <v>2.8421709430404007E-14</v>
      </c>
      <c r="AB33" s="60">
        <v>66.930000000000007</v>
      </c>
      <c r="AD33" s="120">
        <v>65.999999999999972</v>
      </c>
      <c r="AE33" s="60">
        <v>0.93</v>
      </c>
    </row>
    <row r="34" spans="1:33" ht="8.25" customHeight="1" x14ac:dyDescent="0.2">
      <c r="A34" s="116"/>
      <c r="B34" s="116"/>
      <c r="C34" s="4"/>
      <c r="D34" s="4"/>
      <c r="F34" s="8"/>
      <c r="G34" s="16"/>
      <c r="K34" s="8"/>
      <c r="L34" s="8"/>
      <c r="Z34" s="16"/>
      <c r="AB34" s="8"/>
      <c r="AE34" s="8"/>
    </row>
    <row r="35" spans="1:33" ht="18" hidden="1" customHeight="1" outlineLevel="1" x14ac:dyDescent="0.2">
      <c r="A35" s="46" t="s">
        <v>303</v>
      </c>
      <c r="B35" s="46" t="s">
        <v>17</v>
      </c>
      <c r="C35" s="47">
        <v>-0.67809533179202119</v>
      </c>
      <c r="D35" s="47">
        <v>-6.4997678654333771E-2</v>
      </c>
      <c r="E35" s="31"/>
      <c r="F35" s="94" t="s">
        <v>346</v>
      </c>
      <c r="G35" s="16"/>
      <c r="H35" s="59">
        <v>89.447000000000003</v>
      </c>
      <c r="I35" s="59">
        <v>34.151000000000003</v>
      </c>
      <c r="J35" s="59">
        <v>34.151000000000003</v>
      </c>
      <c r="K35" s="59">
        <v>81.316000000000003</v>
      </c>
      <c r="L35" s="59">
        <v>28.001000000000001</v>
      </c>
      <c r="M35" s="59">
        <v>1.516</v>
      </c>
      <c r="N35" s="59">
        <v>0</v>
      </c>
      <c r="O35" s="59">
        <v>4.2759999999999998</v>
      </c>
      <c r="P35" s="59">
        <v>1.2650000000000006</v>
      </c>
      <c r="Q35" s="59">
        <v>0.53099999999999969</v>
      </c>
      <c r="R35" s="59">
        <v>2.2830000000000004</v>
      </c>
      <c r="S35" s="59">
        <v>0.61099999999999888</v>
      </c>
      <c r="T35" s="59">
        <v>3.8790000000000013</v>
      </c>
      <c r="U35" s="59">
        <v>0.80699999999999861</v>
      </c>
      <c r="V35" s="59">
        <v>6.9000000000000838E-2</v>
      </c>
      <c r="W35" s="59">
        <v>4.4159999999999986</v>
      </c>
      <c r="X35" s="59">
        <v>6.5240000000000009</v>
      </c>
      <c r="Y35" s="59">
        <v>26.177</v>
      </c>
      <c r="Z35" s="16"/>
      <c r="AA35" s="59">
        <v>81.316000000000003</v>
      </c>
      <c r="AB35" s="63">
        <v>-55.14</v>
      </c>
      <c r="AC35" s="31"/>
      <c r="AD35" s="59">
        <v>28.001000000000001</v>
      </c>
      <c r="AE35" s="63">
        <v>-1.82</v>
      </c>
    </row>
    <row r="36" spans="1:33" ht="18" hidden="1" customHeight="1" outlineLevel="1" x14ac:dyDescent="0.2">
      <c r="A36" s="46" t="s">
        <v>301</v>
      </c>
      <c r="B36" s="46" t="s">
        <v>304</v>
      </c>
      <c r="C36" s="47">
        <v>1</v>
      </c>
      <c r="D36" s="47">
        <v>1</v>
      </c>
      <c r="E36" s="31"/>
      <c r="F36" s="94" t="s">
        <v>347</v>
      </c>
      <c r="G36" s="16"/>
      <c r="H36" s="59">
        <v>20.353000000000002</v>
      </c>
      <c r="I36" s="59">
        <v>0.91100000000000003</v>
      </c>
      <c r="J36" s="59">
        <v>0.91100000000000003</v>
      </c>
      <c r="K36" s="59">
        <v>0</v>
      </c>
      <c r="L36" s="59">
        <v>0</v>
      </c>
      <c r="M36" s="59">
        <v>0</v>
      </c>
      <c r="N36" s="59">
        <v>0.16400000000000001</v>
      </c>
      <c r="O36" s="59">
        <v>4.4999999999999984E-2</v>
      </c>
      <c r="P36" s="59">
        <v>0</v>
      </c>
      <c r="Q36" s="59">
        <v>5.0000000000000017E-2</v>
      </c>
      <c r="R36" s="59">
        <v>0</v>
      </c>
      <c r="S36" s="59">
        <v>0</v>
      </c>
      <c r="T36" s="59">
        <v>0</v>
      </c>
      <c r="U36" s="59">
        <v>0.13600000000000001</v>
      </c>
      <c r="V36" s="59">
        <v>0</v>
      </c>
      <c r="W36" s="59">
        <v>0</v>
      </c>
      <c r="X36" s="59">
        <v>0.57499999999999996</v>
      </c>
      <c r="Y36" s="59">
        <v>0.97</v>
      </c>
      <c r="Z36" s="16"/>
      <c r="AA36" s="59">
        <v>0</v>
      </c>
      <c r="AB36" s="63">
        <v>0.97</v>
      </c>
      <c r="AC36" s="31"/>
      <c r="AD36" s="59">
        <v>0</v>
      </c>
      <c r="AE36" s="63">
        <v>0.97</v>
      </c>
    </row>
    <row r="37" spans="1:33" ht="18" customHeight="1" collapsed="1" x14ac:dyDescent="0.2">
      <c r="A37" s="32"/>
      <c r="B37" s="32"/>
      <c r="C37" s="4">
        <v>-0.66616656008657582</v>
      </c>
      <c r="D37" s="4">
        <v>-3.0356058712188848E-2</v>
      </c>
      <c r="F37" s="213" t="s">
        <v>436</v>
      </c>
      <c r="G37" s="16"/>
      <c r="H37" s="61">
        <v>109.80000000000001</v>
      </c>
      <c r="I37" s="61">
        <v>35.062000000000005</v>
      </c>
      <c r="J37" s="61">
        <v>35.062000000000005</v>
      </c>
      <c r="K37" s="86">
        <v>81.316000000000003</v>
      </c>
      <c r="L37" s="86">
        <v>28.001000000000001</v>
      </c>
      <c r="M37" s="61">
        <v>1.516</v>
      </c>
      <c r="N37" s="61">
        <v>0.16400000000000001</v>
      </c>
      <c r="O37" s="61">
        <v>4.3209999999999997</v>
      </c>
      <c r="P37" s="61">
        <v>1.2650000000000006</v>
      </c>
      <c r="Q37" s="61">
        <v>0.58099999999999974</v>
      </c>
      <c r="R37" s="61">
        <v>2.2830000000000004</v>
      </c>
      <c r="S37" s="61">
        <v>0.61099999999999888</v>
      </c>
      <c r="T37" s="61">
        <v>3.8790000000000013</v>
      </c>
      <c r="U37" s="61">
        <v>0.94299999999999862</v>
      </c>
      <c r="V37" s="61">
        <v>6.9000000000000838E-2</v>
      </c>
      <c r="W37" s="61">
        <v>4.4159999999999986</v>
      </c>
      <c r="X37" s="61">
        <v>7.0990000000000011</v>
      </c>
      <c r="Y37" s="61">
        <v>27.146999999999998</v>
      </c>
      <c r="Z37" s="16"/>
      <c r="AA37" s="61">
        <v>81.316000000000003</v>
      </c>
      <c r="AB37" s="60">
        <v>-54.17</v>
      </c>
      <c r="AC37" s="34"/>
      <c r="AD37" s="61">
        <v>28.001000000000001</v>
      </c>
      <c r="AE37" s="60">
        <v>-0.85</v>
      </c>
      <c r="AG37" s="48"/>
    </row>
    <row r="38" spans="1:33" ht="18" hidden="1" customHeight="1" outlineLevel="1" x14ac:dyDescent="0.2">
      <c r="A38" s="46" t="s">
        <v>300</v>
      </c>
      <c r="B38" s="46" t="s">
        <v>17</v>
      </c>
      <c r="C38" s="47">
        <v>0</v>
      </c>
      <c r="D38" s="47">
        <v>0</v>
      </c>
      <c r="E38" s="31"/>
      <c r="F38" s="217" t="s">
        <v>437</v>
      </c>
      <c r="G38" s="16"/>
      <c r="H38" s="59">
        <v>6.9000000000000006E-2</v>
      </c>
      <c r="I38" s="59">
        <v>4.2999999999999997E-2</v>
      </c>
      <c r="J38" s="59">
        <v>4.2999999999999997E-2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59">
        <v>0</v>
      </c>
      <c r="Q38" s="59">
        <v>0</v>
      </c>
      <c r="R38" s="59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16"/>
      <c r="AA38" s="59">
        <v>0</v>
      </c>
      <c r="AB38" s="63">
        <v>0</v>
      </c>
      <c r="AC38" s="31"/>
      <c r="AD38" s="59">
        <v>0</v>
      </c>
      <c r="AE38" s="63">
        <v>0</v>
      </c>
    </row>
    <row r="39" spans="1:33" ht="18" hidden="1" customHeight="1" outlineLevel="1" x14ac:dyDescent="0.2">
      <c r="A39" s="46" t="s">
        <v>301</v>
      </c>
      <c r="B39" s="46" t="s">
        <v>302</v>
      </c>
      <c r="C39" s="47">
        <v>0.98039215686274517</v>
      </c>
      <c r="D39" s="47">
        <v>0.98039215686274517</v>
      </c>
      <c r="E39" s="31"/>
      <c r="F39" s="217" t="s">
        <v>438</v>
      </c>
      <c r="G39" s="16"/>
      <c r="H39" s="59">
        <v>0.72599999999999998</v>
      </c>
      <c r="I39" s="59">
        <v>4.4999999999999998E-2</v>
      </c>
      <c r="J39" s="59">
        <v>4.4999999999999998E-2</v>
      </c>
      <c r="K39" s="59">
        <v>0</v>
      </c>
      <c r="L39" s="59">
        <v>0</v>
      </c>
      <c r="M39" s="59">
        <v>0</v>
      </c>
      <c r="N39" s="59">
        <v>0</v>
      </c>
      <c r="O39" s="59">
        <v>0</v>
      </c>
      <c r="P39" s="59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2.7E-2</v>
      </c>
      <c r="X39" s="59">
        <v>7.4999999999999997E-2</v>
      </c>
      <c r="Y39" s="59">
        <v>0.10199999999999999</v>
      </c>
      <c r="Z39" s="16"/>
      <c r="AA39" s="59">
        <v>0</v>
      </c>
      <c r="AB39" s="63">
        <v>0.1</v>
      </c>
      <c r="AC39" s="31"/>
      <c r="AD39" s="59">
        <v>0</v>
      </c>
      <c r="AE39" s="63">
        <v>0.1</v>
      </c>
    </row>
    <row r="40" spans="1:33" ht="18" customHeight="1" collapsed="1" x14ac:dyDescent="0.2">
      <c r="A40" s="32"/>
      <c r="B40" s="32"/>
      <c r="C40" s="4">
        <v>0.98039215686274517</v>
      </c>
      <c r="D40" s="4">
        <v>0.98039215686274517</v>
      </c>
      <c r="F40" s="213" t="s">
        <v>439</v>
      </c>
      <c r="G40" s="16"/>
      <c r="H40" s="61">
        <v>0.79499999999999993</v>
      </c>
      <c r="I40" s="61">
        <v>8.7999999999999995E-2</v>
      </c>
      <c r="J40" s="61">
        <v>8.7999999999999995E-2</v>
      </c>
      <c r="K40" s="86">
        <v>0</v>
      </c>
      <c r="L40" s="86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2.7E-2</v>
      </c>
      <c r="X40" s="61">
        <v>7.4999999999999997E-2</v>
      </c>
      <c r="Y40" s="61">
        <v>0.10199999999999999</v>
      </c>
      <c r="Z40" s="16"/>
      <c r="AA40" s="61">
        <v>0</v>
      </c>
      <c r="AB40" s="60">
        <v>0.1</v>
      </c>
      <c r="AC40" s="34"/>
      <c r="AD40" s="61">
        <v>0</v>
      </c>
      <c r="AE40" s="60">
        <v>0.1</v>
      </c>
      <c r="AG40" s="48"/>
    </row>
    <row r="41" spans="1:33" ht="18" hidden="1" customHeight="1" outlineLevel="1" x14ac:dyDescent="0.2">
      <c r="A41" s="46" t="s">
        <v>309</v>
      </c>
      <c r="B41" s="46" t="s">
        <v>17</v>
      </c>
      <c r="C41" s="47">
        <v>1.0004349717268377</v>
      </c>
      <c r="D41" s="47">
        <v>1.0004349717268377</v>
      </c>
      <c r="E41" s="31"/>
      <c r="F41" s="217" t="s">
        <v>440</v>
      </c>
      <c r="G41" s="16"/>
      <c r="H41" s="59">
        <v>0</v>
      </c>
      <c r="I41" s="59">
        <v>4.9139999999999997</v>
      </c>
      <c r="J41" s="59">
        <v>4.9139999999999997</v>
      </c>
      <c r="K41" s="59">
        <v>0</v>
      </c>
      <c r="L41" s="59">
        <v>0</v>
      </c>
      <c r="M41" s="59">
        <v>1.5449999999999999</v>
      </c>
      <c r="N41" s="59">
        <v>1.0880000000000001</v>
      </c>
      <c r="O41" s="59">
        <v>0</v>
      </c>
      <c r="P41" s="59">
        <v>0.68900000000000006</v>
      </c>
      <c r="Q41" s="59">
        <v>0</v>
      </c>
      <c r="R41" s="59">
        <v>0.2799999999999998</v>
      </c>
      <c r="S41" s="59">
        <v>0</v>
      </c>
      <c r="T41" s="59">
        <v>0</v>
      </c>
      <c r="U41" s="59">
        <v>0</v>
      </c>
      <c r="V41" s="59">
        <v>3.1240000000000001</v>
      </c>
      <c r="W41" s="59">
        <v>0</v>
      </c>
      <c r="X41" s="59">
        <v>2.4699999999999998</v>
      </c>
      <c r="Y41" s="59">
        <v>9.1959999999999997</v>
      </c>
      <c r="Z41" s="16"/>
      <c r="AA41" s="59">
        <v>0</v>
      </c>
      <c r="AB41" s="63">
        <v>9.1999999999999993</v>
      </c>
      <c r="AC41" s="31"/>
      <c r="AD41" s="59">
        <v>0</v>
      </c>
      <c r="AE41" s="63">
        <v>9.1999999999999993</v>
      </c>
    </row>
    <row r="42" spans="1:33" ht="18" hidden="1" customHeight="1" outlineLevel="1" x14ac:dyDescent="0.2">
      <c r="A42" s="46" t="s">
        <v>301</v>
      </c>
      <c r="B42" s="46" t="s">
        <v>308</v>
      </c>
      <c r="C42" s="47">
        <v>0</v>
      </c>
      <c r="D42" s="47">
        <v>0</v>
      </c>
      <c r="E42" s="31"/>
      <c r="F42" s="217" t="s">
        <v>441</v>
      </c>
      <c r="G42" s="16"/>
      <c r="H42" s="59">
        <v>0</v>
      </c>
      <c r="I42" s="59">
        <v>0.32300000000000001</v>
      </c>
      <c r="J42" s="59">
        <v>0.32300000000000001</v>
      </c>
      <c r="K42" s="59">
        <v>0</v>
      </c>
      <c r="L42" s="59">
        <v>0</v>
      </c>
      <c r="M42" s="59">
        <v>0</v>
      </c>
      <c r="N42" s="59">
        <v>0</v>
      </c>
      <c r="O42" s="59">
        <v>0</v>
      </c>
      <c r="P42" s="59">
        <v>0</v>
      </c>
      <c r="Q42" s="59">
        <v>0</v>
      </c>
      <c r="R42" s="59">
        <v>0</v>
      </c>
      <c r="S42" s="59">
        <v>0</v>
      </c>
      <c r="T42" s="59">
        <v>0</v>
      </c>
      <c r="U42" s="59">
        <v>0</v>
      </c>
      <c r="V42" s="59">
        <v>0</v>
      </c>
      <c r="W42" s="59">
        <v>0</v>
      </c>
      <c r="X42" s="59">
        <v>0</v>
      </c>
      <c r="Y42" s="59">
        <v>0</v>
      </c>
      <c r="Z42" s="16"/>
      <c r="AA42" s="59">
        <v>0</v>
      </c>
      <c r="AB42" s="63">
        <v>0</v>
      </c>
      <c r="AC42" s="31"/>
      <c r="AD42" s="59">
        <v>0</v>
      </c>
      <c r="AE42" s="63">
        <v>0</v>
      </c>
    </row>
    <row r="43" spans="1:33" ht="18" customHeight="1" collapsed="1" x14ac:dyDescent="0.2">
      <c r="A43" s="32"/>
      <c r="B43" s="32"/>
      <c r="C43" s="4">
        <v>1.0004349717268377</v>
      </c>
      <c r="D43" s="4">
        <v>1.0004349717268377</v>
      </c>
      <c r="F43" s="213" t="s">
        <v>442</v>
      </c>
      <c r="G43" s="16"/>
      <c r="H43" s="61">
        <v>0</v>
      </c>
      <c r="I43" s="61">
        <v>5.2370000000000001</v>
      </c>
      <c r="J43" s="61">
        <v>5.2370000000000001</v>
      </c>
      <c r="K43" s="86">
        <v>0</v>
      </c>
      <c r="L43" s="86">
        <v>0</v>
      </c>
      <c r="M43" s="61">
        <v>1.5449999999999999</v>
      </c>
      <c r="N43" s="61">
        <v>1.0880000000000001</v>
      </c>
      <c r="O43" s="61">
        <v>0</v>
      </c>
      <c r="P43" s="61">
        <v>0.68900000000000006</v>
      </c>
      <c r="Q43" s="61">
        <v>0</v>
      </c>
      <c r="R43" s="61">
        <v>0.2799999999999998</v>
      </c>
      <c r="S43" s="61">
        <v>0</v>
      </c>
      <c r="T43" s="61">
        <v>0</v>
      </c>
      <c r="U43" s="61">
        <v>0</v>
      </c>
      <c r="V43" s="61">
        <v>3.1240000000000001</v>
      </c>
      <c r="W43" s="61">
        <v>0</v>
      </c>
      <c r="X43" s="61">
        <v>2.4699999999999998</v>
      </c>
      <c r="Y43" s="61">
        <v>9.1959999999999997</v>
      </c>
      <c r="Z43" s="16"/>
      <c r="AA43" s="61">
        <v>0</v>
      </c>
      <c r="AB43" s="60">
        <v>9.1999999999999993</v>
      </c>
      <c r="AC43" s="34"/>
      <c r="AD43" s="61">
        <v>0</v>
      </c>
      <c r="AE43" s="60">
        <v>9.1999999999999993</v>
      </c>
      <c r="AG43" s="48"/>
    </row>
    <row r="44" spans="1:33" ht="18" hidden="1" customHeight="1" outlineLevel="1" x14ac:dyDescent="0.2">
      <c r="A44" s="212" t="s">
        <v>435</v>
      </c>
      <c r="B44" s="46" t="s">
        <v>17</v>
      </c>
      <c r="C44" s="47">
        <v>0</v>
      </c>
      <c r="D44" s="47">
        <v>0</v>
      </c>
      <c r="E44" s="31"/>
      <c r="F44" s="201" t="s">
        <v>433</v>
      </c>
      <c r="G44" s="16"/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  <c r="N44" s="59">
        <v>0</v>
      </c>
      <c r="O44" s="59">
        <v>0</v>
      </c>
      <c r="P44" s="59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16"/>
      <c r="AA44" s="59">
        <v>0</v>
      </c>
      <c r="AB44" s="63">
        <v>0</v>
      </c>
      <c r="AC44" s="31"/>
      <c r="AD44" s="59">
        <v>0</v>
      </c>
      <c r="AE44" s="63">
        <v>0</v>
      </c>
    </row>
    <row r="45" spans="1:33" ht="18" hidden="1" customHeight="1" outlineLevel="1" x14ac:dyDescent="0.2">
      <c r="A45" s="46" t="s">
        <v>301</v>
      </c>
      <c r="B45" s="212" t="s">
        <v>451</v>
      </c>
      <c r="C45" s="47">
        <v>0</v>
      </c>
      <c r="D45" s="47">
        <v>0</v>
      </c>
      <c r="E45" s="31"/>
      <c r="F45" s="201" t="s">
        <v>434</v>
      </c>
      <c r="G45" s="16"/>
      <c r="H45" s="59">
        <v>0</v>
      </c>
      <c r="I45" s="59">
        <v>0</v>
      </c>
      <c r="J45" s="59">
        <v>0</v>
      </c>
      <c r="K45" s="59">
        <v>0</v>
      </c>
      <c r="L45" s="59">
        <v>0</v>
      </c>
      <c r="M45" s="59">
        <v>0</v>
      </c>
      <c r="N45" s="59">
        <v>0</v>
      </c>
      <c r="O45" s="59">
        <v>0</v>
      </c>
      <c r="P45" s="59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16"/>
      <c r="AA45" s="59">
        <v>0</v>
      </c>
      <c r="AB45" s="63">
        <v>0</v>
      </c>
      <c r="AC45" s="31"/>
      <c r="AD45" s="59">
        <v>0</v>
      </c>
      <c r="AE45" s="63">
        <v>0</v>
      </c>
    </row>
    <row r="46" spans="1:33" ht="18" customHeight="1" collapsed="1" x14ac:dyDescent="0.2">
      <c r="A46" s="32"/>
      <c r="B46" s="32"/>
      <c r="C46" s="4">
        <v>0</v>
      </c>
      <c r="D46" s="4">
        <v>0</v>
      </c>
      <c r="F46" s="51" t="s">
        <v>432</v>
      </c>
      <c r="G46" s="16"/>
      <c r="H46" s="197">
        <v>0</v>
      </c>
      <c r="I46" s="197">
        <v>0</v>
      </c>
      <c r="J46" s="197">
        <v>0</v>
      </c>
      <c r="K46" s="86">
        <v>0</v>
      </c>
      <c r="L46" s="86">
        <v>0</v>
      </c>
      <c r="M46" s="197">
        <v>0</v>
      </c>
      <c r="N46" s="197">
        <v>0</v>
      </c>
      <c r="O46" s="197">
        <v>0</v>
      </c>
      <c r="P46" s="197">
        <v>0</v>
      </c>
      <c r="Q46" s="197">
        <v>0</v>
      </c>
      <c r="R46" s="197">
        <v>0</v>
      </c>
      <c r="S46" s="197">
        <v>0</v>
      </c>
      <c r="T46" s="197">
        <v>0</v>
      </c>
      <c r="U46" s="197">
        <v>0</v>
      </c>
      <c r="V46" s="197">
        <v>0</v>
      </c>
      <c r="W46" s="197">
        <v>0</v>
      </c>
      <c r="X46" s="197">
        <v>0</v>
      </c>
      <c r="Y46" s="197">
        <v>0</v>
      </c>
      <c r="Z46" s="16"/>
      <c r="AA46" s="197">
        <v>0</v>
      </c>
      <c r="AB46" s="60">
        <v>0</v>
      </c>
      <c r="AC46" s="34"/>
      <c r="AD46" s="197">
        <v>0</v>
      </c>
      <c r="AE46" s="60">
        <v>0</v>
      </c>
      <c r="AG46" s="48"/>
    </row>
    <row r="47" spans="1:33" ht="18" hidden="1" customHeight="1" outlineLevel="1" x14ac:dyDescent="0.2">
      <c r="A47" s="46" t="s">
        <v>306</v>
      </c>
      <c r="B47" s="46" t="s">
        <v>17</v>
      </c>
      <c r="C47" s="47">
        <v>0</v>
      </c>
      <c r="D47" s="47">
        <v>0</v>
      </c>
      <c r="E47" s="31"/>
      <c r="F47" s="94" t="s">
        <v>350</v>
      </c>
      <c r="G47" s="16"/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16"/>
      <c r="AA47" s="59">
        <v>0</v>
      </c>
      <c r="AB47" s="63">
        <v>0</v>
      </c>
      <c r="AC47" s="31"/>
      <c r="AD47" s="59">
        <v>0</v>
      </c>
      <c r="AE47" s="63">
        <v>0</v>
      </c>
    </row>
    <row r="48" spans="1:33" ht="18" hidden="1" customHeight="1" outlineLevel="1" x14ac:dyDescent="0.2">
      <c r="A48" s="46" t="s">
        <v>301</v>
      </c>
      <c r="B48" s="46" t="s">
        <v>307</v>
      </c>
      <c r="C48" s="47">
        <v>0</v>
      </c>
      <c r="D48" s="47">
        <v>0</v>
      </c>
      <c r="E48" s="31"/>
      <c r="F48" s="94" t="s">
        <v>351</v>
      </c>
      <c r="G48" s="16"/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16"/>
      <c r="AA48" s="59">
        <v>0</v>
      </c>
      <c r="AB48" s="63">
        <v>0</v>
      </c>
      <c r="AC48" s="31"/>
      <c r="AD48" s="59">
        <v>0</v>
      </c>
      <c r="AE48" s="63">
        <v>0</v>
      </c>
    </row>
    <row r="49" spans="1:33" ht="18" customHeight="1" collapsed="1" x14ac:dyDescent="0.2">
      <c r="A49" s="32"/>
      <c r="B49" s="32"/>
      <c r="C49" s="4">
        <v>0</v>
      </c>
      <c r="D49" s="4">
        <v>0</v>
      </c>
      <c r="F49" s="51" t="s">
        <v>325</v>
      </c>
      <c r="G49" s="16"/>
      <c r="H49" s="61">
        <v>0</v>
      </c>
      <c r="I49" s="61">
        <v>0</v>
      </c>
      <c r="J49" s="61">
        <v>0</v>
      </c>
      <c r="K49" s="86">
        <v>0</v>
      </c>
      <c r="L49" s="86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  <c r="R49" s="61">
        <v>0</v>
      </c>
      <c r="S49" s="61">
        <v>0</v>
      </c>
      <c r="T49" s="61">
        <v>0</v>
      </c>
      <c r="U49" s="61">
        <v>0</v>
      </c>
      <c r="V49" s="61">
        <v>0</v>
      </c>
      <c r="W49" s="61">
        <v>0</v>
      </c>
      <c r="X49" s="61">
        <v>0</v>
      </c>
      <c r="Y49" s="61">
        <v>0</v>
      </c>
      <c r="Z49" s="16"/>
      <c r="AA49" s="61">
        <v>0</v>
      </c>
      <c r="AB49" s="60">
        <v>0</v>
      </c>
      <c r="AC49" s="34"/>
      <c r="AD49" s="61">
        <v>0</v>
      </c>
      <c r="AE49" s="60">
        <v>0</v>
      </c>
      <c r="AG49" s="48"/>
    </row>
    <row r="50" spans="1:33" ht="18" hidden="1" customHeight="1" outlineLevel="1" x14ac:dyDescent="0.2">
      <c r="A50" s="46" t="s">
        <v>305</v>
      </c>
      <c r="B50" s="46" t="s">
        <v>17</v>
      </c>
      <c r="C50" s="47">
        <v>0</v>
      </c>
      <c r="D50" s="47">
        <v>0</v>
      </c>
      <c r="E50" s="31"/>
      <c r="F50" s="94" t="s">
        <v>353</v>
      </c>
      <c r="G50" s="16"/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0</v>
      </c>
      <c r="Z50" s="16"/>
      <c r="AA50" s="59">
        <v>0</v>
      </c>
      <c r="AB50" s="63">
        <v>0</v>
      </c>
      <c r="AC50" s="31"/>
      <c r="AD50" s="59">
        <v>0</v>
      </c>
      <c r="AE50" s="63">
        <v>0</v>
      </c>
    </row>
    <row r="51" spans="1:33" ht="18" hidden="1" customHeight="1" outlineLevel="1" x14ac:dyDescent="0.2">
      <c r="A51" s="46" t="s">
        <v>301</v>
      </c>
      <c r="B51" s="46" t="s">
        <v>352</v>
      </c>
      <c r="C51" s="47">
        <v>0</v>
      </c>
      <c r="D51" s="47">
        <v>0</v>
      </c>
      <c r="E51" s="31"/>
      <c r="F51" s="94" t="s">
        <v>354</v>
      </c>
      <c r="G51" s="16"/>
      <c r="H51" s="59">
        <v>0</v>
      </c>
      <c r="I51" s="59">
        <v>0</v>
      </c>
      <c r="J51" s="59">
        <v>0</v>
      </c>
      <c r="K51" s="59">
        <v>0</v>
      </c>
      <c r="L51" s="59">
        <v>0</v>
      </c>
      <c r="M51" s="59">
        <v>0</v>
      </c>
      <c r="N51" s="59">
        <v>0</v>
      </c>
      <c r="O51" s="59">
        <v>0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59">
        <v>0</v>
      </c>
      <c r="Y51" s="59">
        <v>0</v>
      </c>
      <c r="Z51" s="16"/>
      <c r="AA51" s="59">
        <v>0</v>
      </c>
      <c r="AB51" s="63">
        <v>0</v>
      </c>
      <c r="AC51" s="31"/>
      <c r="AD51" s="59">
        <v>0</v>
      </c>
      <c r="AE51" s="63">
        <v>0</v>
      </c>
    </row>
    <row r="52" spans="1:33" ht="18" hidden="1" customHeight="1" outlineLevel="1" x14ac:dyDescent="0.2">
      <c r="A52" s="46" t="s">
        <v>310</v>
      </c>
      <c r="B52" s="46" t="s">
        <v>334</v>
      </c>
      <c r="C52" s="47">
        <v>1</v>
      </c>
      <c r="D52" s="47">
        <v>1</v>
      </c>
      <c r="E52" s="31"/>
      <c r="F52" s="94" t="s">
        <v>355</v>
      </c>
      <c r="G52" s="16"/>
      <c r="H52" s="59">
        <v>0</v>
      </c>
      <c r="I52" s="59">
        <v>0</v>
      </c>
      <c r="J52" s="59">
        <v>0</v>
      </c>
      <c r="K52" s="59">
        <v>0</v>
      </c>
      <c r="L52" s="59">
        <v>0</v>
      </c>
      <c r="M52" s="59">
        <v>0</v>
      </c>
      <c r="N52" s="59">
        <v>0</v>
      </c>
      <c r="O52" s="59">
        <v>0</v>
      </c>
      <c r="P52" s="59">
        <v>0</v>
      </c>
      <c r="Q52" s="59">
        <v>0</v>
      </c>
      <c r="R52" s="59">
        <v>0</v>
      </c>
      <c r="S52" s="59">
        <v>0</v>
      </c>
      <c r="T52" s="59">
        <v>0</v>
      </c>
      <c r="U52" s="59">
        <v>0.13</v>
      </c>
      <c r="V52" s="59">
        <v>0</v>
      </c>
      <c r="W52" s="59">
        <v>0</v>
      </c>
      <c r="X52" s="59">
        <v>0</v>
      </c>
      <c r="Y52" s="59">
        <v>0.13</v>
      </c>
      <c r="Z52" s="16"/>
      <c r="AA52" s="59">
        <v>0</v>
      </c>
      <c r="AB52" s="60">
        <v>0.13</v>
      </c>
      <c r="AC52" s="31"/>
      <c r="AD52" s="59">
        <v>0</v>
      </c>
      <c r="AE52" s="60">
        <v>0.13</v>
      </c>
    </row>
    <row r="53" spans="1:33" ht="18" customHeight="1" collapsed="1" x14ac:dyDescent="0.2">
      <c r="A53" s="32"/>
      <c r="B53" s="32"/>
      <c r="C53" s="4">
        <v>1</v>
      </c>
      <c r="D53" s="4">
        <v>1</v>
      </c>
      <c r="F53" s="51" t="s">
        <v>363</v>
      </c>
      <c r="G53" s="16"/>
      <c r="H53" s="61">
        <v>0</v>
      </c>
      <c r="I53" s="61">
        <v>0</v>
      </c>
      <c r="J53" s="61">
        <v>0</v>
      </c>
      <c r="K53" s="86">
        <v>0</v>
      </c>
      <c r="L53" s="86">
        <v>0</v>
      </c>
      <c r="M53" s="61">
        <v>0</v>
      </c>
      <c r="N53" s="61">
        <v>0</v>
      </c>
      <c r="O53" s="61">
        <v>0</v>
      </c>
      <c r="P53" s="61">
        <v>0</v>
      </c>
      <c r="Q53" s="61">
        <v>0</v>
      </c>
      <c r="R53" s="61">
        <v>0</v>
      </c>
      <c r="S53" s="61">
        <v>0</v>
      </c>
      <c r="T53" s="61">
        <v>0</v>
      </c>
      <c r="U53" s="61">
        <v>0.13</v>
      </c>
      <c r="V53" s="61">
        <v>0</v>
      </c>
      <c r="W53" s="61">
        <v>0</v>
      </c>
      <c r="X53" s="61">
        <v>0</v>
      </c>
      <c r="Y53" s="61">
        <v>0.13</v>
      </c>
      <c r="Z53" s="16"/>
      <c r="AA53" s="61">
        <v>0</v>
      </c>
      <c r="AB53" s="60">
        <v>0.13</v>
      </c>
      <c r="AC53" s="34"/>
      <c r="AD53" s="61">
        <v>0</v>
      </c>
      <c r="AE53" s="60">
        <v>0.13</v>
      </c>
      <c r="AG53" s="48"/>
    </row>
    <row r="54" spans="1:33" ht="18" customHeight="1" x14ac:dyDescent="0.2">
      <c r="A54" s="30" t="s">
        <v>311</v>
      </c>
      <c r="B54" s="30" t="s">
        <v>17</v>
      </c>
      <c r="C54" s="4">
        <v>0</v>
      </c>
      <c r="D54" s="4">
        <v>0</v>
      </c>
      <c r="F54" s="51" t="s">
        <v>374</v>
      </c>
      <c r="G54" s="16"/>
      <c r="H54" s="61">
        <v>0</v>
      </c>
      <c r="I54" s="61">
        <v>0</v>
      </c>
      <c r="J54" s="61">
        <v>0</v>
      </c>
      <c r="K54" s="86">
        <v>0</v>
      </c>
      <c r="L54" s="86">
        <v>0</v>
      </c>
      <c r="M54" s="61">
        <v>0</v>
      </c>
      <c r="N54" s="61">
        <v>0</v>
      </c>
      <c r="O54" s="61">
        <v>0</v>
      </c>
      <c r="P54" s="61">
        <v>0</v>
      </c>
      <c r="Q54" s="61">
        <v>0</v>
      </c>
      <c r="R54" s="61">
        <v>0</v>
      </c>
      <c r="S54" s="61">
        <v>0</v>
      </c>
      <c r="T54" s="61">
        <v>0</v>
      </c>
      <c r="U54" s="61">
        <v>0</v>
      </c>
      <c r="V54" s="61">
        <v>0</v>
      </c>
      <c r="W54" s="61">
        <v>0</v>
      </c>
      <c r="X54" s="61">
        <v>0</v>
      </c>
      <c r="Y54" s="61">
        <v>0</v>
      </c>
      <c r="Z54" s="16"/>
      <c r="AA54" s="61">
        <v>0</v>
      </c>
      <c r="AB54" s="60">
        <v>0</v>
      </c>
      <c r="AD54" s="61">
        <v>0</v>
      </c>
      <c r="AE54" s="60">
        <v>0</v>
      </c>
    </row>
    <row r="55" spans="1:33" ht="18" customHeight="1" x14ac:dyDescent="0.2">
      <c r="A55" s="32"/>
      <c r="B55" s="32"/>
      <c r="C55" s="5">
        <v>-0.55019922278518374</v>
      </c>
      <c r="D55" s="5">
        <v>0.3060604978393629</v>
      </c>
      <c r="F55" s="118" t="s">
        <v>375</v>
      </c>
      <c r="G55" s="16"/>
      <c r="H55" s="120">
        <v>110.59500000000001</v>
      </c>
      <c r="I55" s="120">
        <v>40.387000000000008</v>
      </c>
      <c r="J55" s="120">
        <v>40.387000000000008</v>
      </c>
      <c r="K55" s="121">
        <v>81.316000000000003</v>
      </c>
      <c r="L55" s="121">
        <v>28.001000000000001</v>
      </c>
      <c r="M55" s="120">
        <v>3.0609999999999999</v>
      </c>
      <c r="N55" s="120">
        <v>1.252</v>
      </c>
      <c r="O55" s="120">
        <v>4.3209999999999997</v>
      </c>
      <c r="P55" s="120">
        <v>1.9540000000000006</v>
      </c>
      <c r="Q55" s="120">
        <v>0.58099999999999974</v>
      </c>
      <c r="R55" s="120">
        <v>2.5630000000000002</v>
      </c>
      <c r="S55" s="120">
        <v>0.61099999999999888</v>
      </c>
      <c r="T55" s="120">
        <v>3.8790000000000013</v>
      </c>
      <c r="U55" s="120">
        <v>1.0729999999999986</v>
      </c>
      <c r="V55" s="120">
        <v>3.1930000000000009</v>
      </c>
      <c r="W55" s="120">
        <v>4.4429999999999987</v>
      </c>
      <c r="X55" s="120">
        <v>9.6440000000000019</v>
      </c>
      <c r="Y55" s="120">
        <v>36.575000000000003</v>
      </c>
      <c r="Z55" s="16"/>
      <c r="AA55" s="120">
        <v>81.316000000000003</v>
      </c>
      <c r="AB55" s="60">
        <v>-44.74</v>
      </c>
      <c r="AC55" s="7"/>
      <c r="AD55" s="120">
        <v>28.001000000000001</v>
      </c>
      <c r="AE55" s="60">
        <v>8.57</v>
      </c>
    </row>
    <row r="56" spans="1:33" ht="8.25" customHeight="1" x14ac:dyDescent="0.2">
      <c r="A56" s="116"/>
      <c r="F56" s="8"/>
      <c r="G56" s="16"/>
      <c r="K56" s="8"/>
      <c r="L56" s="8"/>
      <c r="Z56" s="16"/>
      <c r="AB56" s="8"/>
      <c r="AE56" s="8"/>
    </row>
    <row r="57" spans="1:33" ht="18" customHeight="1" x14ac:dyDescent="0.2">
      <c r="A57" s="30" t="s">
        <v>313</v>
      </c>
      <c r="B57" s="30" t="s">
        <v>17</v>
      </c>
      <c r="C57" s="4">
        <v>0</v>
      </c>
      <c r="D57" s="4">
        <v>0</v>
      </c>
      <c r="F57" s="51" t="s">
        <v>312</v>
      </c>
      <c r="G57" s="16"/>
      <c r="H57" s="61">
        <v>0</v>
      </c>
      <c r="I57" s="61">
        <v>0</v>
      </c>
      <c r="J57" s="61">
        <v>0</v>
      </c>
      <c r="K57" s="86">
        <v>0</v>
      </c>
      <c r="L57" s="86">
        <v>0</v>
      </c>
      <c r="M57" s="61">
        <v>0</v>
      </c>
      <c r="N57" s="61">
        <v>0</v>
      </c>
      <c r="O57" s="61">
        <v>0</v>
      </c>
      <c r="P57" s="61">
        <v>0</v>
      </c>
      <c r="Q57" s="61">
        <v>0</v>
      </c>
      <c r="R57" s="61">
        <v>0</v>
      </c>
      <c r="S57" s="61">
        <v>0</v>
      </c>
      <c r="T57" s="61">
        <v>0</v>
      </c>
      <c r="U57" s="61">
        <v>0</v>
      </c>
      <c r="V57" s="61">
        <v>0</v>
      </c>
      <c r="W57" s="61">
        <v>0</v>
      </c>
      <c r="X57" s="61">
        <v>0</v>
      </c>
      <c r="Y57" s="61">
        <v>0</v>
      </c>
      <c r="Z57" s="16"/>
      <c r="AA57" s="61">
        <v>0</v>
      </c>
      <c r="AB57" s="60">
        <v>0</v>
      </c>
      <c r="AD57" s="61">
        <v>0</v>
      </c>
      <c r="AE57" s="60">
        <v>0</v>
      </c>
    </row>
    <row r="58" spans="1:33" ht="8.25" customHeight="1" x14ac:dyDescent="0.2">
      <c r="A58" s="116"/>
      <c r="F58" s="8"/>
      <c r="G58" s="16"/>
      <c r="K58" s="8"/>
      <c r="L58" s="8"/>
      <c r="Z58" s="16"/>
      <c r="AB58" s="8"/>
      <c r="AE58" s="8"/>
    </row>
    <row r="59" spans="1:33" s="7" customFormat="1" ht="18" customHeight="1" x14ac:dyDescent="0.2">
      <c r="A59" s="30" t="s">
        <v>299</v>
      </c>
      <c r="B59" s="30" t="s">
        <v>17</v>
      </c>
      <c r="C59" s="4">
        <v>0.15501813620493685</v>
      </c>
      <c r="D59" s="4">
        <v>0.17810602990065835</v>
      </c>
      <c r="E59" s="8"/>
      <c r="F59" s="45" t="s">
        <v>376</v>
      </c>
      <c r="G59" s="16"/>
      <c r="H59" s="62">
        <v>735.14300000000003</v>
      </c>
      <c r="I59" s="62">
        <v>902.31700000000001</v>
      </c>
      <c r="J59" s="62">
        <v>902.31700000000001</v>
      </c>
      <c r="K59" s="108">
        <v>883.31600000000003</v>
      </c>
      <c r="L59" s="108">
        <v>866.00099999999998</v>
      </c>
      <c r="M59" s="62">
        <v>76.108000000000004</v>
      </c>
      <c r="N59" s="62">
        <v>106.524</v>
      </c>
      <c r="O59" s="62">
        <v>106.93099999999998</v>
      </c>
      <c r="P59" s="62">
        <v>103.88800000000003</v>
      </c>
      <c r="Q59" s="62">
        <v>54.307999999999993</v>
      </c>
      <c r="R59" s="62">
        <v>90.826000000000022</v>
      </c>
      <c r="S59" s="62">
        <v>45.600999999999999</v>
      </c>
      <c r="T59" s="62">
        <v>79.26400000000001</v>
      </c>
      <c r="U59" s="62">
        <v>94.391999999999939</v>
      </c>
      <c r="V59" s="62">
        <v>42.269000000000005</v>
      </c>
      <c r="W59" s="62">
        <v>112.947</v>
      </c>
      <c r="X59" s="62">
        <v>107.18299999999999</v>
      </c>
      <c r="Y59" s="62">
        <v>1020.241</v>
      </c>
      <c r="Z59" s="16"/>
      <c r="AA59" s="62">
        <v>883.31600000000014</v>
      </c>
      <c r="AB59" s="60">
        <v>136.93</v>
      </c>
      <c r="AD59" s="62">
        <v>866.00099999999986</v>
      </c>
      <c r="AE59" s="60">
        <v>154.24</v>
      </c>
    </row>
    <row r="60" spans="1:33" ht="8.25" customHeight="1" x14ac:dyDescent="0.2">
      <c r="A60" s="116"/>
      <c r="F60" s="8"/>
      <c r="G60" s="16"/>
      <c r="K60" s="8"/>
      <c r="L60" s="8"/>
      <c r="Z60" s="16"/>
      <c r="AB60" s="8"/>
      <c r="AE60" s="8"/>
    </row>
    <row r="61" spans="1:33" ht="18" customHeight="1" x14ac:dyDescent="0.2">
      <c r="A61" s="35"/>
      <c r="B61" s="32"/>
      <c r="C61" s="4">
        <v>3.2652497891108273E-2</v>
      </c>
      <c r="D61" s="4">
        <v>3.5339057563561697E-2</v>
      </c>
      <c r="F61" s="95" t="s">
        <v>234</v>
      </c>
      <c r="G61" s="16"/>
      <c r="H61" s="64">
        <v>6306.1680000000006</v>
      </c>
      <c r="I61" s="64">
        <v>6715.3540000000003</v>
      </c>
      <c r="J61" s="64">
        <v>6715.3540000000003</v>
      </c>
      <c r="K61" s="89">
        <v>6405.0230000000001</v>
      </c>
      <c r="L61" s="89">
        <v>6388.3990000000003</v>
      </c>
      <c r="M61" s="64">
        <v>522.01400000000001</v>
      </c>
      <c r="N61" s="64">
        <v>573.86500000000001</v>
      </c>
      <c r="O61" s="64">
        <v>527.50299999999993</v>
      </c>
      <c r="P61" s="64">
        <v>633.1</v>
      </c>
      <c r="Q61" s="64">
        <v>538.15000000000009</v>
      </c>
      <c r="R61" s="64">
        <v>558.88999999999987</v>
      </c>
      <c r="S61" s="64">
        <v>512.35000000000025</v>
      </c>
      <c r="T61" s="64">
        <v>529.10599999999965</v>
      </c>
      <c r="U61" s="64">
        <v>545.9019999999997</v>
      </c>
      <c r="V61" s="64">
        <v>505.28600000000074</v>
      </c>
      <c r="W61" s="64">
        <v>582.75199999999938</v>
      </c>
      <c r="X61" s="64">
        <v>585.24300000000039</v>
      </c>
      <c r="Y61" s="64">
        <v>6614.1610000000001</v>
      </c>
      <c r="Z61" s="16"/>
      <c r="AA61" s="64">
        <v>6405.0230000000001</v>
      </c>
      <c r="AB61" s="60">
        <v>209.14</v>
      </c>
      <c r="AD61" s="64">
        <v>6388.3990000000003</v>
      </c>
      <c r="AE61" s="60">
        <v>225.76</v>
      </c>
    </row>
    <row r="62" spans="1:33" ht="6.95" customHeight="1" x14ac:dyDescent="0.2">
      <c r="C62" s="4"/>
      <c r="D62" s="4"/>
      <c r="F62" s="96"/>
      <c r="G62" s="16"/>
      <c r="H62" s="16"/>
      <c r="I62" s="16"/>
      <c r="J62" s="16"/>
      <c r="K62" s="85"/>
      <c r="L62" s="85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20"/>
      <c r="AD62" s="16"/>
      <c r="AE62" s="20"/>
    </row>
    <row r="63" spans="1:33" s="36" customFormat="1" ht="18" customHeight="1" x14ac:dyDescent="0.2">
      <c r="A63" s="30" t="s">
        <v>21</v>
      </c>
      <c r="B63" s="30" t="s">
        <v>17</v>
      </c>
      <c r="C63" s="4">
        <v>-1.0004584001833601</v>
      </c>
      <c r="D63" s="4">
        <v>0.127</v>
      </c>
      <c r="E63" s="8"/>
      <c r="F63" s="104" t="s">
        <v>24</v>
      </c>
      <c r="G63" s="16"/>
      <c r="H63" s="65">
        <v>-14.523</v>
      </c>
      <c r="I63" s="65">
        <v>-31.850999999999999</v>
      </c>
      <c r="J63" s="65">
        <v>-31.850999999999999</v>
      </c>
      <c r="K63" s="65">
        <v>0</v>
      </c>
      <c r="L63" s="65">
        <v>-10</v>
      </c>
      <c r="M63" s="65">
        <v>-8.7949999999999999</v>
      </c>
      <c r="N63" s="65">
        <v>0.51399999999999935</v>
      </c>
      <c r="O63" s="65">
        <v>-7.9459999999999997</v>
      </c>
      <c r="P63" s="65">
        <v>6.6440000000000001</v>
      </c>
      <c r="Q63" s="65">
        <v>-6.7999999999999616E-2</v>
      </c>
      <c r="R63" s="65">
        <v>13.593</v>
      </c>
      <c r="S63" s="65">
        <v>-13.752000000000001</v>
      </c>
      <c r="T63" s="65">
        <v>-3.7910000000000004</v>
      </c>
      <c r="U63" s="65">
        <v>0.14900000000000091</v>
      </c>
      <c r="V63" s="65">
        <v>0.53100000000000058</v>
      </c>
      <c r="W63" s="65">
        <v>2.1029999999999998</v>
      </c>
      <c r="X63" s="65">
        <v>2.0919999999999987</v>
      </c>
      <c r="Y63" s="65">
        <v>-8.7260000000000009</v>
      </c>
      <c r="AA63" s="65">
        <v>0</v>
      </c>
      <c r="AB63" s="60">
        <v>-8.73</v>
      </c>
      <c r="AD63" s="65">
        <v>-10</v>
      </c>
      <c r="AE63" s="60">
        <v>1.27</v>
      </c>
    </row>
    <row r="64" spans="1:33" s="36" customFormat="1" ht="18" hidden="1" customHeight="1" outlineLevel="1" x14ac:dyDescent="0.2">
      <c r="A64" s="30" t="s">
        <v>119</v>
      </c>
      <c r="B64" s="30" t="s">
        <v>17</v>
      </c>
      <c r="C64" s="4">
        <v>-1.8359999999999999</v>
      </c>
      <c r="D64" s="4">
        <v>5.4666666666666662E-2</v>
      </c>
      <c r="E64" s="8"/>
      <c r="F64" s="38" t="s">
        <v>121</v>
      </c>
      <c r="G64" s="16"/>
      <c r="H64" s="66">
        <v>0.151</v>
      </c>
      <c r="I64" s="66">
        <v>-14.789</v>
      </c>
      <c r="J64" s="66">
        <v>-14.789</v>
      </c>
      <c r="K64" s="66">
        <v>-5</v>
      </c>
      <c r="L64" s="66">
        <v>-15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-14.182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-14.182</v>
      </c>
      <c r="Z64" s="34"/>
      <c r="AA64" s="66">
        <v>-5</v>
      </c>
      <c r="AB64" s="60">
        <v>-9.18</v>
      </c>
      <c r="AC64" s="34"/>
      <c r="AD64" s="66">
        <v>-15</v>
      </c>
      <c r="AE64" s="60">
        <v>0.82</v>
      </c>
    </row>
    <row r="65" spans="1:31" s="36" customFormat="1" ht="18" hidden="1" customHeight="1" outlineLevel="1" x14ac:dyDescent="0.2">
      <c r="A65" s="30" t="s">
        <v>120</v>
      </c>
      <c r="B65" s="30" t="s">
        <v>17</v>
      </c>
      <c r="C65" s="4">
        <v>2.0524</v>
      </c>
      <c r="D65" s="4">
        <v>-0.13024793388429751</v>
      </c>
      <c r="E65" s="8"/>
      <c r="F65" s="38" t="s">
        <v>122</v>
      </c>
      <c r="G65" s="16"/>
      <c r="H65" s="66">
        <v>-120.486</v>
      </c>
      <c r="I65" s="66">
        <v>-84.128</v>
      </c>
      <c r="J65" s="66">
        <v>-84.128</v>
      </c>
      <c r="K65" s="66">
        <v>-25</v>
      </c>
      <c r="L65" s="66">
        <v>30.25</v>
      </c>
      <c r="M65" s="66">
        <v>36.944000000000003</v>
      </c>
      <c r="N65" s="66">
        <v>-36.388000000000005</v>
      </c>
      <c r="O65" s="66">
        <v>42.157000000000004</v>
      </c>
      <c r="P65" s="66">
        <v>-24.823</v>
      </c>
      <c r="Q65" s="66">
        <v>-1.9770000000000003</v>
      </c>
      <c r="R65" s="66">
        <v>7.3290000000000006</v>
      </c>
      <c r="S65" s="66">
        <v>-3.0390000000000015</v>
      </c>
      <c r="T65" s="66">
        <v>2.2999999999999687E-2</v>
      </c>
      <c r="U65" s="66">
        <v>11.122</v>
      </c>
      <c r="V65" s="66">
        <v>-2.0739999999999981</v>
      </c>
      <c r="W65" s="66">
        <v>-2.9619999999999997</v>
      </c>
      <c r="X65" s="66">
        <v>9.9999999999766942E-4</v>
      </c>
      <c r="Y65" s="66">
        <v>26.312999999999999</v>
      </c>
      <c r="Z65" s="34"/>
      <c r="AA65" s="66">
        <v>-25</v>
      </c>
      <c r="AB65" s="60">
        <v>51.31</v>
      </c>
      <c r="AC65" s="34"/>
      <c r="AD65" s="66">
        <v>30.25</v>
      </c>
      <c r="AE65" s="60">
        <v>-3.94</v>
      </c>
    </row>
    <row r="66" spans="1:31" s="36" customFormat="1" ht="18" customHeight="1" collapsed="1" x14ac:dyDescent="0.2">
      <c r="A66" s="35"/>
      <c r="B66" s="35"/>
      <c r="C66" s="4">
        <v>1.4043333333333334</v>
      </c>
      <c r="D66" s="4">
        <v>-0.20459016393442625</v>
      </c>
      <c r="E66" s="8"/>
      <c r="F66" s="104" t="s">
        <v>0</v>
      </c>
      <c r="G66" s="16"/>
      <c r="H66" s="65">
        <v>-120.33500000000001</v>
      </c>
      <c r="I66" s="65">
        <v>-98.917000000000002</v>
      </c>
      <c r="J66" s="65">
        <v>-98.917000000000002</v>
      </c>
      <c r="K66" s="65">
        <v>-30</v>
      </c>
      <c r="L66" s="65">
        <v>15.25</v>
      </c>
      <c r="M66" s="65">
        <v>36.944000000000003</v>
      </c>
      <c r="N66" s="65">
        <v>-36.388000000000005</v>
      </c>
      <c r="O66" s="65">
        <v>42.157000000000004</v>
      </c>
      <c r="P66" s="65">
        <v>-24.823</v>
      </c>
      <c r="Q66" s="65">
        <v>-1.9770000000000003</v>
      </c>
      <c r="R66" s="65">
        <v>-6.8529999999999998</v>
      </c>
      <c r="S66" s="65">
        <v>-3.0390000000000015</v>
      </c>
      <c r="T66" s="65">
        <v>2.2999999999999687E-2</v>
      </c>
      <c r="U66" s="65">
        <v>11.122</v>
      </c>
      <c r="V66" s="65">
        <v>-2.0739999999999981</v>
      </c>
      <c r="W66" s="65">
        <v>-2.9619999999999997</v>
      </c>
      <c r="X66" s="65">
        <v>9.9999999999766942E-4</v>
      </c>
      <c r="Y66" s="65">
        <v>12.130999999999998</v>
      </c>
      <c r="AA66" s="65">
        <v>-30</v>
      </c>
      <c r="AB66" s="60">
        <v>42.13</v>
      </c>
      <c r="AD66" s="65">
        <v>15.25</v>
      </c>
      <c r="AE66" s="60">
        <v>-3.12</v>
      </c>
    </row>
    <row r="67" spans="1:31" s="36" customFormat="1" ht="18" hidden="1" customHeight="1" outlineLevel="1" x14ac:dyDescent="0.2">
      <c r="A67" s="30" t="s">
        <v>131</v>
      </c>
      <c r="B67" s="30" t="s">
        <v>17</v>
      </c>
      <c r="C67" s="4">
        <v>0</v>
      </c>
      <c r="D67" s="4">
        <v>0</v>
      </c>
      <c r="E67" s="8"/>
      <c r="F67" s="38" t="s">
        <v>132</v>
      </c>
      <c r="G67" s="16"/>
      <c r="H67" s="66">
        <v>0</v>
      </c>
      <c r="I67" s="66">
        <v>0</v>
      </c>
      <c r="J67" s="66">
        <v>0</v>
      </c>
      <c r="K67" s="86">
        <v>0</v>
      </c>
      <c r="L67" s="8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34"/>
      <c r="AA67" s="66">
        <v>0</v>
      </c>
      <c r="AB67" s="60">
        <v>0</v>
      </c>
      <c r="AC67" s="34"/>
      <c r="AD67" s="66">
        <v>0</v>
      </c>
      <c r="AE67" s="60">
        <v>0</v>
      </c>
    </row>
    <row r="68" spans="1:31" s="36" customFormat="1" ht="18" hidden="1" customHeight="1" outlineLevel="1" x14ac:dyDescent="0.2">
      <c r="A68" s="30" t="s">
        <v>134</v>
      </c>
      <c r="B68" s="30" t="s">
        <v>17</v>
      </c>
      <c r="C68" s="4">
        <v>0</v>
      </c>
      <c r="D68" s="4">
        <v>0</v>
      </c>
      <c r="E68" s="8"/>
      <c r="F68" s="38" t="s">
        <v>133</v>
      </c>
      <c r="G68" s="16"/>
      <c r="H68" s="66">
        <v>0</v>
      </c>
      <c r="I68" s="66">
        <v>0</v>
      </c>
      <c r="J68" s="66">
        <v>0</v>
      </c>
      <c r="K68" s="86">
        <v>0</v>
      </c>
      <c r="L68" s="8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34"/>
      <c r="AA68" s="66">
        <v>0</v>
      </c>
      <c r="AB68" s="60">
        <v>0</v>
      </c>
      <c r="AC68" s="34"/>
      <c r="AD68" s="66">
        <v>0</v>
      </c>
      <c r="AE68" s="60">
        <v>0</v>
      </c>
    </row>
    <row r="69" spans="1:31" s="36" customFormat="1" ht="18" hidden="1" customHeight="1" outlineLevel="1" x14ac:dyDescent="0.2">
      <c r="A69" s="30" t="s">
        <v>135</v>
      </c>
      <c r="B69" s="30" t="s">
        <v>17</v>
      </c>
      <c r="C69" s="4">
        <v>0</v>
      </c>
      <c r="D69" s="4">
        <v>0</v>
      </c>
      <c r="E69" s="8"/>
      <c r="F69" s="38" t="s">
        <v>136</v>
      </c>
      <c r="G69" s="16"/>
      <c r="H69" s="66">
        <v>0</v>
      </c>
      <c r="I69" s="66">
        <v>13.5</v>
      </c>
      <c r="J69" s="66">
        <v>13.5</v>
      </c>
      <c r="K69" s="86">
        <v>0</v>
      </c>
      <c r="L69" s="8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34"/>
      <c r="AA69" s="66">
        <v>0</v>
      </c>
      <c r="AB69" s="60">
        <v>0</v>
      </c>
      <c r="AC69" s="34"/>
      <c r="AD69" s="66">
        <v>0</v>
      </c>
      <c r="AE69" s="60">
        <v>0</v>
      </c>
    </row>
    <row r="70" spans="1:31" s="36" customFormat="1" ht="18" hidden="1" customHeight="1" outlineLevel="1" x14ac:dyDescent="0.2">
      <c r="A70" s="30" t="s">
        <v>137</v>
      </c>
      <c r="B70" s="30" t="s">
        <v>17</v>
      </c>
      <c r="C70" s="4">
        <v>0</v>
      </c>
      <c r="D70" s="4">
        <v>0</v>
      </c>
      <c r="E70" s="8"/>
      <c r="F70" s="38" t="s">
        <v>138</v>
      </c>
      <c r="G70" s="16"/>
      <c r="H70" s="66">
        <v>0</v>
      </c>
      <c r="I70" s="66">
        <v>0</v>
      </c>
      <c r="J70" s="66">
        <v>0</v>
      </c>
      <c r="K70" s="86">
        <v>0</v>
      </c>
      <c r="L70" s="8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34"/>
      <c r="AA70" s="66">
        <v>0</v>
      </c>
      <c r="AB70" s="60">
        <v>0</v>
      </c>
      <c r="AC70" s="34"/>
      <c r="AD70" s="66">
        <v>0</v>
      </c>
      <c r="AE70" s="60">
        <v>0</v>
      </c>
    </row>
    <row r="71" spans="1:31" s="37" customFormat="1" ht="18" customHeight="1" collapsed="1" x14ac:dyDescent="0.2">
      <c r="A71" s="35"/>
      <c r="B71" s="35"/>
      <c r="C71" s="4">
        <v>0</v>
      </c>
      <c r="D71" s="4">
        <v>0</v>
      </c>
      <c r="E71" s="8"/>
      <c r="F71" s="105" t="s">
        <v>274</v>
      </c>
      <c r="G71" s="16"/>
      <c r="H71" s="67">
        <v>0</v>
      </c>
      <c r="I71" s="67">
        <v>13.5</v>
      </c>
      <c r="J71" s="67">
        <v>13.5</v>
      </c>
      <c r="K71" s="67">
        <v>0</v>
      </c>
      <c r="L71" s="67">
        <v>0</v>
      </c>
      <c r="M71" s="67">
        <v>0</v>
      </c>
      <c r="N71" s="67">
        <v>0</v>
      </c>
      <c r="O71" s="67">
        <v>0</v>
      </c>
      <c r="P71" s="67">
        <v>0</v>
      </c>
      <c r="Q71" s="67">
        <v>0</v>
      </c>
      <c r="R71" s="67">
        <v>0</v>
      </c>
      <c r="S71" s="67">
        <v>0</v>
      </c>
      <c r="T71" s="67">
        <v>0</v>
      </c>
      <c r="U71" s="67">
        <v>0</v>
      </c>
      <c r="V71" s="67">
        <v>0</v>
      </c>
      <c r="W71" s="67">
        <v>0</v>
      </c>
      <c r="X71" s="67">
        <v>0</v>
      </c>
      <c r="Y71" s="67">
        <v>0</v>
      </c>
      <c r="AA71" s="67">
        <v>0</v>
      </c>
      <c r="AB71" s="60">
        <v>0</v>
      </c>
      <c r="AD71" s="67">
        <v>0</v>
      </c>
      <c r="AE71" s="60">
        <v>0</v>
      </c>
    </row>
    <row r="72" spans="1:31" ht="6.95" customHeight="1" x14ac:dyDescent="0.2">
      <c r="C72" s="4"/>
      <c r="D72" s="4"/>
      <c r="F72" s="96"/>
      <c r="G72" s="16"/>
      <c r="H72" s="16"/>
      <c r="I72" s="16"/>
      <c r="J72" s="16"/>
      <c r="K72" s="85"/>
      <c r="L72" s="8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AA72" s="16"/>
      <c r="AB72" s="20"/>
      <c r="AD72" s="16"/>
      <c r="AE72" s="20"/>
    </row>
    <row r="73" spans="1:31" s="7" customFormat="1" ht="18" customHeight="1" x14ac:dyDescent="0.2">
      <c r="A73" s="276" t="s">
        <v>299</v>
      </c>
      <c r="B73" s="276" t="s">
        <v>17</v>
      </c>
      <c r="C73" s="252">
        <v>3.804535293441294E-2</v>
      </c>
      <c r="D73" s="252">
        <v>3.5022254114981909E-2</v>
      </c>
      <c r="E73" s="253"/>
      <c r="F73" s="279" t="s">
        <v>448</v>
      </c>
      <c r="G73" s="16"/>
      <c r="H73" s="62">
        <v>6171.31</v>
      </c>
      <c r="I73" s="62">
        <v>6598.0860000000002</v>
      </c>
      <c r="J73" s="62">
        <v>6598.0860000000002</v>
      </c>
      <c r="K73" s="108">
        <v>6375.0230000000001</v>
      </c>
      <c r="L73" s="108">
        <v>6393.6490000000003</v>
      </c>
      <c r="M73" s="62">
        <v>550.16300000000001</v>
      </c>
      <c r="N73" s="62">
        <v>537.99099999999999</v>
      </c>
      <c r="O73" s="62">
        <v>561.71399999999994</v>
      </c>
      <c r="P73" s="62">
        <v>614.92100000000005</v>
      </c>
      <c r="Q73" s="62">
        <v>536.10500000000013</v>
      </c>
      <c r="R73" s="62">
        <v>565.62999999999988</v>
      </c>
      <c r="S73" s="62">
        <v>495.55900000000025</v>
      </c>
      <c r="T73" s="62">
        <v>525.33799999999962</v>
      </c>
      <c r="U73" s="62">
        <v>557.17299999999966</v>
      </c>
      <c r="V73" s="62">
        <v>503.74300000000073</v>
      </c>
      <c r="W73" s="62">
        <v>581.89299999999935</v>
      </c>
      <c r="X73" s="62">
        <v>587.33600000000035</v>
      </c>
      <c r="Y73" s="62">
        <v>6617.5660000000007</v>
      </c>
      <c r="Z73" s="16"/>
      <c r="AA73" s="62">
        <v>6375.0230000000001</v>
      </c>
      <c r="AB73" s="256">
        <v>242.54</v>
      </c>
      <c r="AD73" s="62">
        <v>6393.6490000000003</v>
      </c>
      <c r="AE73" s="256">
        <v>223.92</v>
      </c>
    </row>
    <row r="74" spans="1:31" s="253" customFormat="1" ht="8.25" customHeight="1" x14ac:dyDescent="0.2">
      <c r="A74" s="116"/>
      <c r="G74" s="16"/>
      <c r="Z74" s="16"/>
    </row>
    <row r="75" spans="1:31" ht="18" customHeight="1" x14ac:dyDescent="0.2">
      <c r="A75" s="30" t="s">
        <v>206</v>
      </c>
      <c r="B75" s="30" t="s">
        <v>38</v>
      </c>
      <c r="C75" s="4">
        <v>0.38405226887950972</v>
      </c>
      <c r="D75" s="4">
        <v>0.18040370325716568</v>
      </c>
      <c r="F75" s="106" t="s">
        <v>377</v>
      </c>
      <c r="H75" s="61">
        <v>-234.35</v>
      </c>
      <c r="I75" s="61">
        <v>-200.18899999999999</v>
      </c>
      <c r="J75" s="61">
        <v>-200.18899999999999</v>
      </c>
      <c r="K75" s="86">
        <v>-209.685</v>
      </c>
      <c r="L75" s="86">
        <v>-157.59100000000001</v>
      </c>
      <c r="M75" s="61">
        <v>-10.756</v>
      </c>
      <c r="N75" s="61">
        <v>-11.66</v>
      </c>
      <c r="O75" s="61">
        <v>-13.110000000000003</v>
      </c>
      <c r="P75" s="61">
        <v>-10.511999999999993</v>
      </c>
      <c r="Q75" s="61">
        <v>-6.8680000000000021</v>
      </c>
      <c r="R75" s="61">
        <v>-12.925999999999995</v>
      </c>
      <c r="S75" s="61">
        <v>-10.63000000000001</v>
      </c>
      <c r="T75" s="61">
        <v>-8.8130000000000024</v>
      </c>
      <c r="U75" s="61">
        <v>-9.6259999999999906</v>
      </c>
      <c r="V75" s="61">
        <v>-15.921999999999997</v>
      </c>
      <c r="W75" s="61">
        <v>-9.2830000000000013</v>
      </c>
      <c r="X75" s="61">
        <v>-9.0519999999999925</v>
      </c>
      <c r="Y75" s="61">
        <v>-129.15799999999999</v>
      </c>
      <c r="AA75" s="61">
        <v>-209.68500000000003</v>
      </c>
      <c r="AB75" s="60">
        <v>80.53</v>
      </c>
      <c r="AD75" s="61">
        <v>-157.59100000000001</v>
      </c>
      <c r="AE75" s="60">
        <v>28.43</v>
      </c>
    </row>
    <row r="76" spans="1:31" ht="18" customHeight="1" x14ac:dyDescent="0.2">
      <c r="A76" s="30" t="s">
        <v>42</v>
      </c>
      <c r="B76" s="30" t="s">
        <v>17</v>
      </c>
      <c r="C76" s="4">
        <v>0</v>
      </c>
      <c r="D76" s="4">
        <v>0</v>
      </c>
      <c r="F76" s="106" t="s">
        <v>207</v>
      </c>
      <c r="H76" s="61">
        <v>0</v>
      </c>
      <c r="I76" s="61">
        <v>0</v>
      </c>
      <c r="J76" s="61">
        <v>0</v>
      </c>
      <c r="K76" s="86">
        <v>0</v>
      </c>
      <c r="L76" s="86">
        <v>0</v>
      </c>
      <c r="M76" s="61">
        <v>0</v>
      </c>
      <c r="N76" s="61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AA76" s="61">
        <v>0</v>
      </c>
      <c r="AB76" s="60">
        <v>0</v>
      </c>
      <c r="AD76" s="61">
        <v>0</v>
      </c>
      <c r="AE76" s="60">
        <v>0</v>
      </c>
    </row>
    <row r="77" spans="1:31" ht="18" customHeight="1" collapsed="1" x14ac:dyDescent="0.2">
      <c r="A77" s="35"/>
      <c r="B77" s="35"/>
      <c r="C77" s="4">
        <v>0.38405226887950972</v>
      </c>
      <c r="D77" s="4">
        <v>0.18040370325716568</v>
      </c>
      <c r="F77" s="45" t="s">
        <v>41</v>
      </c>
      <c r="H77" s="62">
        <v>-234.35</v>
      </c>
      <c r="I77" s="62">
        <v>-200.18899999999999</v>
      </c>
      <c r="J77" s="62">
        <v>-200.18899999999999</v>
      </c>
      <c r="K77" s="108">
        <v>-209.685</v>
      </c>
      <c r="L77" s="108">
        <v>-157.59100000000001</v>
      </c>
      <c r="M77" s="62">
        <v>-10.756</v>
      </c>
      <c r="N77" s="62">
        <v>-11.66</v>
      </c>
      <c r="O77" s="62">
        <v>-13.110000000000003</v>
      </c>
      <c r="P77" s="62">
        <v>-10.511999999999993</v>
      </c>
      <c r="Q77" s="62">
        <v>-6.8680000000000021</v>
      </c>
      <c r="R77" s="62">
        <v>-12.925999999999995</v>
      </c>
      <c r="S77" s="62">
        <v>-10.63000000000001</v>
      </c>
      <c r="T77" s="62">
        <v>-8.8130000000000024</v>
      </c>
      <c r="U77" s="62">
        <v>-9.6259999999999906</v>
      </c>
      <c r="V77" s="62">
        <v>-15.921999999999997</v>
      </c>
      <c r="W77" s="62">
        <v>-9.2830000000000013</v>
      </c>
      <c r="X77" s="62">
        <v>-9.0519999999999925</v>
      </c>
      <c r="Y77" s="62">
        <v>-129.15799999999999</v>
      </c>
      <c r="AA77" s="62">
        <v>-209.68500000000003</v>
      </c>
      <c r="AB77" s="60">
        <v>80.53</v>
      </c>
      <c r="AD77" s="62">
        <v>-157.59100000000001</v>
      </c>
      <c r="AE77" s="60">
        <v>28.43</v>
      </c>
    </row>
    <row r="78" spans="1:31" ht="12.95" customHeight="1" x14ac:dyDescent="0.2">
      <c r="A78" s="35"/>
      <c r="B78" s="35"/>
      <c r="C78" s="4"/>
      <c r="D78" s="4"/>
      <c r="F78" s="39" t="s">
        <v>227</v>
      </c>
      <c r="H78" s="56">
        <v>0.10224743661509719</v>
      </c>
      <c r="I78" s="56">
        <v>7.6783050648530249E-2</v>
      </c>
      <c r="J78" s="56">
        <v>7.6783050648530249E-2</v>
      </c>
      <c r="K78" s="109">
        <v>8.2941472437095265E-2</v>
      </c>
      <c r="L78" s="109">
        <v>6.6623460407085833E-2</v>
      </c>
      <c r="M78" s="56">
        <v>5.4521492295214927E-2</v>
      </c>
      <c r="N78" s="56">
        <v>5.6772258523142251E-2</v>
      </c>
      <c r="O78" s="56">
        <v>6.0936780994789483E-2</v>
      </c>
      <c r="P78" s="56">
        <v>5.1473396597819993E-2</v>
      </c>
      <c r="Q78" s="56">
        <v>3.2827787948167673E-2</v>
      </c>
      <c r="R78" s="56">
        <v>6.2327918336250565E-2</v>
      </c>
      <c r="S78" s="56">
        <v>5.2018595546855902E-2</v>
      </c>
      <c r="T78" s="56">
        <v>4.576588927490173E-2</v>
      </c>
      <c r="U78" s="56">
        <v>5.3752813004316481E-2</v>
      </c>
      <c r="V78" s="56">
        <v>7.978432875833695E-2</v>
      </c>
      <c r="W78" s="56">
        <v>4.9675182208332946E-2</v>
      </c>
      <c r="X78" s="56">
        <v>4.4305005604201364E-2</v>
      </c>
      <c r="Y78" s="56">
        <v>5.3695711551948987E-2</v>
      </c>
      <c r="AA78" s="56">
        <v>8.2941472437095279E-2</v>
      </c>
      <c r="AB78" s="57"/>
      <c r="AD78" s="56">
        <v>6.6623460407085833E-2</v>
      </c>
      <c r="AE78" s="57"/>
    </row>
    <row r="79" spans="1:31" ht="18" customHeight="1" x14ac:dyDescent="0.2">
      <c r="A79" s="30" t="s">
        <v>39</v>
      </c>
      <c r="B79" s="30" t="s">
        <v>17</v>
      </c>
      <c r="C79" s="4">
        <v>-7.741056499391036E-5</v>
      </c>
      <c r="D79" s="4">
        <v>1.6059913683676059E-2</v>
      </c>
      <c r="F79" s="45" t="s">
        <v>40</v>
      </c>
      <c r="H79" s="62">
        <v>-2142.4630000000002</v>
      </c>
      <c r="I79" s="62">
        <v>-2043.146</v>
      </c>
      <c r="J79" s="62">
        <v>-2043.146</v>
      </c>
      <c r="K79" s="108">
        <v>-1937.72</v>
      </c>
      <c r="L79" s="108">
        <v>-1969.5</v>
      </c>
      <c r="M79" s="62">
        <v>-162.203</v>
      </c>
      <c r="N79" s="62">
        <v>-151.88000000000002</v>
      </c>
      <c r="O79" s="62">
        <v>-193.04699999999997</v>
      </c>
      <c r="P79" s="62">
        <v>-186.596</v>
      </c>
      <c r="Q79" s="62">
        <v>-133.89300000000003</v>
      </c>
      <c r="R79" s="62">
        <v>-171.03399999999999</v>
      </c>
      <c r="S79" s="62">
        <v>-193.00700000000006</v>
      </c>
      <c r="T79" s="62">
        <v>-162.94200000000001</v>
      </c>
      <c r="U79" s="62">
        <v>-155.46499999999992</v>
      </c>
      <c r="V79" s="62">
        <v>-131.30299999999988</v>
      </c>
      <c r="W79" s="62">
        <v>-138.95000000000005</v>
      </c>
      <c r="X79" s="62">
        <v>-157.54899999999998</v>
      </c>
      <c r="Y79" s="62">
        <v>-1937.8689999999999</v>
      </c>
      <c r="AA79" s="62">
        <v>-1937.72</v>
      </c>
      <c r="AB79" s="60">
        <v>-0.15</v>
      </c>
      <c r="AD79" s="62">
        <v>-1969.5</v>
      </c>
      <c r="AE79" s="60">
        <v>31.63</v>
      </c>
    </row>
    <row r="80" spans="1:31" ht="12.95" customHeight="1" x14ac:dyDescent="0.2">
      <c r="A80" s="35"/>
      <c r="B80" s="35"/>
      <c r="C80" s="4"/>
      <c r="D80" s="4"/>
      <c r="F80" s="39" t="s">
        <v>228</v>
      </c>
      <c r="H80" s="56">
        <v>0.65336722464327213</v>
      </c>
      <c r="I80" s="56">
        <v>0.63736236311960193</v>
      </c>
      <c r="J80" s="56">
        <v>0.63736236311960193</v>
      </c>
      <c r="K80" s="109">
        <v>0.6474436980057322</v>
      </c>
      <c r="L80" s="109">
        <v>0.62385175799809944</v>
      </c>
      <c r="M80" s="56">
        <v>0.65239757708365176</v>
      </c>
      <c r="N80" s="56">
        <v>0.57978538626273601</v>
      </c>
      <c r="O80" s="56">
        <v>0.93971698526512515</v>
      </c>
      <c r="P80" s="56">
        <v>0.57415920489861205</v>
      </c>
      <c r="Q80" s="56">
        <v>0.48754137399910452</v>
      </c>
      <c r="R80" s="56">
        <v>0.65611465530138846</v>
      </c>
      <c r="S80" s="56">
        <v>0.73554777266681648</v>
      </c>
      <c r="T80" s="56">
        <v>0.63333786804003533</v>
      </c>
      <c r="U80" s="56">
        <v>0.57065825842139806</v>
      </c>
      <c r="V80" s="56">
        <v>0.49839061088463182</v>
      </c>
      <c r="W80" s="56">
        <v>0.49110913968423403</v>
      </c>
      <c r="X80" s="56">
        <v>0.57552356355639689</v>
      </c>
      <c r="Y80" s="56">
        <v>0.60775850848865209</v>
      </c>
      <c r="AA80" s="56">
        <v>0.6474436980057322</v>
      </c>
      <c r="AB80" s="57"/>
      <c r="AD80" s="56">
        <v>0.62385175799809944</v>
      </c>
      <c r="AE80" s="57"/>
    </row>
    <row r="81" spans="1:31" ht="18" hidden="1" customHeight="1" outlineLevel="1" x14ac:dyDescent="0.2">
      <c r="A81" s="30" t="s">
        <v>209</v>
      </c>
      <c r="B81" s="30" t="s">
        <v>17</v>
      </c>
      <c r="C81" s="4">
        <v>0</v>
      </c>
      <c r="D81" s="4">
        <v>0</v>
      </c>
      <c r="F81" s="106" t="s">
        <v>210</v>
      </c>
      <c r="H81" s="61">
        <v>0</v>
      </c>
      <c r="I81" s="61">
        <v>0</v>
      </c>
      <c r="J81" s="61">
        <v>0</v>
      </c>
      <c r="K81" s="86">
        <v>0</v>
      </c>
      <c r="L81" s="86">
        <v>0</v>
      </c>
      <c r="M81" s="61">
        <v>0</v>
      </c>
      <c r="N81" s="61">
        <v>0</v>
      </c>
      <c r="O81" s="61">
        <v>0</v>
      </c>
      <c r="P81" s="61">
        <v>0</v>
      </c>
      <c r="Q81" s="61">
        <v>0</v>
      </c>
      <c r="R81" s="61">
        <v>0</v>
      </c>
      <c r="S81" s="61">
        <v>0</v>
      </c>
      <c r="T81" s="61">
        <v>0</v>
      </c>
      <c r="U81" s="61">
        <v>0</v>
      </c>
      <c r="V81" s="61">
        <v>0</v>
      </c>
      <c r="W81" s="61">
        <v>0</v>
      </c>
      <c r="X81" s="61">
        <v>0</v>
      </c>
      <c r="Y81" s="61">
        <v>0</v>
      </c>
      <c r="AA81" s="61">
        <v>0</v>
      </c>
      <c r="AB81" s="60">
        <v>0</v>
      </c>
      <c r="AD81" s="61">
        <v>0</v>
      </c>
      <c r="AE81" s="60">
        <v>0</v>
      </c>
    </row>
    <row r="82" spans="1:31" ht="18" hidden="1" customHeight="1" outlineLevel="1" x14ac:dyDescent="0.2">
      <c r="A82" s="30" t="s">
        <v>206</v>
      </c>
      <c r="B82" s="30" t="s">
        <v>205</v>
      </c>
      <c r="C82" s="4">
        <v>6.0073779795686739E-2</v>
      </c>
      <c r="D82" s="4">
        <v>-0.33024759533323961</v>
      </c>
      <c r="F82" s="106" t="s">
        <v>208</v>
      </c>
      <c r="H82" s="61">
        <v>-191.40799999999999</v>
      </c>
      <c r="I82" s="61">
        <v>-302.90300000000002</v>
      </c>
      <c r="J82" s="61">
        <v>-302.90300000000002</v>
      </c>
      <c r="K82" s="86">
        <v>-352.4</v>
      </c>
      <c r="L82" s="86">
        <v>-248.995</v>
      </c>
      <c r="M82" s="61">
        <v>-42.088999999999999</v>
      </c>
      <c r="N82" s="61">
        <v>-22.260000000000005</v>
      </c>
      <c r="O82" s="61">
        <v>-42.701999999999998</v>
      </c>
      <c r="P82" s="61">
        <v>-16.686999999999998</v>
      </c>
      <c r="Q82" s="61">
        <v>-38.628999999999991</v>
      </c>
      <c r="R82" s="61">
        <v>-37.875</v>
      </c>
      <c r="S82" s="61">
        <v>-20.009000000000015</v>
      </c>
      <c r="T82" s="61">
        <v>-14.943999999999988</v>
      </c>
      <c r="U82" s="61">
        <v>-23.954000000000008</v>
      </c>
      <c r="V82" s="61">
        <v>-20.627999999999986</v>
      </c>
      <c r="W82" s="61">
        <v>-31.64100000000002</v>
      </c>
      <c r="X82" s="61">
        <v>-19.810999999999979</v>
      </c>
      <c r="Y82" s="61">
        <v>-331.22899999999998</v>
      </c>
      <c r="AA82" s="61">
        <v>-352.39999999999992</v>
      </c>
      <c r="AB82" s="60">
        <v>21.17</v>
      </c>
      <c r="AD82" s="61">
        <v>-248.995</v>
      </c>
      <c r="AE82" s="60">
        <v>-82.23</v>
      </c>
    </row>
    <row r="83" spans="1:31" ht="18" customHeight="1" collapsed="1" x14ac:dyDescent="0.2">
      <c r="A83" s="35"/>
      <c r="B83" s="35"/>
      <c r="C83" s="4">
        <v>6.0073779795686739E-2</v>
      </c>
      <c r="D83" s="4">
        <v>-0.33024759533323961</v>
      </c>
      <c r="F83" s="45" t="s">
        <v>314</v>
      </c>
      <c r="H83" s="62">
        <v>-191.40799999999999</v>
      </c>
      <c r="I83" s="62">
        <v>-302.90300000000002</v>
      </c>
      <c r="J83" s="62">
        <v>-302.90300000000002</v>
      </c>
      <c r="K83" s="108">
        <v>-352.4</v>
      </c>
      <c r="L83" s="108">
        <v>-248.995</v>
      </c>
      <c r="M83" s="62">
        <v>-42.088999999999999</v>
      </c>
      <c r="N83" s="62">
        <v>-22.260000000000005</v>
      </c>
      <c r="O83" s="62">
        <v>-42.701999999999998</v>
      </c>
      <c r="P83" s="62">
        <v>-16.686999999999998</v>
      </c>
      <c r="Q83" s="62">
        <v>-38.628999999999991</v>
      </c>
      <c r="R83" s="62">
        <v>-37.875</v>
      </c>
      <c r="S83" s="62">
        <v>-20.009000000000015</v>
      </c>
      <c r="T83" s="62">
        <v>-14.943999999999988</v>
      </c>
      <c r="U83" s="62">
        <v>-23.954000000000008</v>
      </c>
      <c r="V83" s="62">
        <v>-20.627999999999986</v>
      </c>
      <c r="W83" s="62">
        <v>-31.64100000000002</v>
      </c>
      <c r="X83" s="62">
        <v>-19.810999999999979</v>
      </c>
      <c r="Y83" s="62">
        <v>-331.22899999999998</v>
      </c>
      <c r="AA83" s="62">
        <v>-352.39999999999992</v>
      </c>
      <c r="AB83" s="60">
        <v>21.17</v>
      </c>
      <c r="AD83" s="62">
        <v>-248.995</v>
      </c>
      <c r="AE83" s="60">
        <v>-82.23</v>
      </c>
    </row>
    <row r="84" spans="1:31" ht="12.95" customHeight="1" x14ac:dyDescent="0.2">
      <c r="A84" s="35"/>
      <c r="B84" s="35"/>
      <c r="C84" s="4"/>
      <c r="D84" s="4"/>
      <c r="F84" s="39" t="s">
        <v>222</v>
      </c>
      <c r="H84" s="56">
        <v>0.26036839091170016</v>
      </c>
      <c r="I84" s="56">
        <v>0.33569466163222017</v>
      </c>
      <c r="J84" s="56">
        <v>0.33569466163222017</v>
      </c>
      <c r="K84" s="109">
        <v>0.39895122470327715</v>
      </c>
      <c r="L84" s="109">
        <v>0.28752276267579369</v>
      </c>
      <c r="M84" s="56">
        <v>0.55301676564881475</v>
      </c>
      <c r="N84" s="56">
        <v>0.20896699335361049</v>
      </c>
      <c r="O84" s="56">
        <v>0.39934163151939106</v>
      </c>
      <c r="P84" s="56">
        <v>0.16062490374249183</v>
      </c>
      <c r="Q84" s="56">
        <v>0.71129483685644834</v>
      </c>
      <c r="R84" s="56">
        <v>0.41700614361526422</v>
      </c>
      <c r="S84" s="56">
        <v>0.43878423718778131</v>
      </c>
      <c r="T84" s="56">
        <v>0.18853451756156625</v>
      </c>
      <c r="U84" s="56">
        <v>0.25377150605983584</v>
      </c>
      <c r="V84" s="56">
        <v>0.48801722302396516</v>
      </c>
      <c r="W84" s="56">
        <v>0.28014024276873239</v>
      </c>
      <c r="X84" s="56">
        <v>0.18483341574689999</v>
      </c>
      <c r="Y84" s="56">
        <v>0.32465760540891808</v>
      </c>
      <c r="AA84" s="56">
        <v>0.39895122470327704</v>
      </c>
      <c r="AB84" s="57"/>
      <c r="AD84" s="56">
        <v>0.28752276267579374</v>
      </c>
      <c r="AE84" s="57"/>
    </row>
    <row r="85" spans="1:31" ht="18" hidden="1" customHeight="1" outlineLevel="2" x14ac:dyDescent="0.2">
      <c r="A85" s="33" t="s">
        <v>43</v>
      </c>
      <c r="B85" s="33" t="s">
        <v>17</v>
      </c>
      <c r="C85" s="4"/>
      <c r="D85" s="4"/>
      <c r="F85" s="38" t="s">
        <v>44</v>
      </c>
      <c r="H85" s="66">
        <v>0</v>
      </c>
      <c r="I85" s="66">
        <v>0</v>
      </c>
      <c r="J85" s="66">
        <v>0</v>
      </c>
      <c r="K85" s="86"/>
      <c r="L85" s="86"/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AA85" s="70"/>
      <c r="AB85" s="71"/>
      <c r="AD85" s="70"/>
      <c r="AE85" s="71"/>
    </row>
    <row r="86" spans="1:31" ht="18" hidden="1" customHeight="1" outlineLevel="2" x14ac:dyDescent="0.2">
      <c r="A86" s="33" t="s">
        <v>43</v>
      </c>
      <c r="B86" s="33" t="s">
        <v>17</v>
      </c>
      <c r="C86" s="4"/>
      <c r="D86" s="4"/>
      <c r="F86" s="38" t="s">
        <v>45</v>
      </c>
      <c r="H86" s="66">
        <v>0</v>
      </c>
      <c r="I86" s="66">
        <v>0</v>
      </c>
      <c r="J86" s="66">
        <v>0</v>
      </c>
      <c r="K86" s="86"/>
      <c r="L86" s="86"/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AA86" s="70"/>
      <c r="AB86" s="71"/>
      <c r="AD86" s="70"/>
      <c r="AE86" s="71"/>
    </row>
    <row r="87" spans="1:31" ht="18" hidden="1" customHeight="1" outlineLevel="2" x14ac:dyDescent="0.2">
      <c r="A87" s="33" t="s">
        <v>46</v>
      </c>
      <c r="B87" s="33" t="s">
        <v>17</v>
      </c>
      <c r="C87" s="4">
        <v>-1.0004221190375686</v>
      </c>
      <c r="D87" s="4">
        <v>-1.0004221190375686</v>
      </c>
      <c r="F87" s="38" t="s">
        <v>47</v>
      </c>
      <c r="H87" s="66">
        <v>-8.6590000000000007</v>
      </c>
      <c r="I87" s="66">
        <v>-6.5890000000000004</v>
      </c>
      <c r="J87" s="66">
        <v>-6.5890000000000004</v>
      </c>
      <c r="K87" s="86">
        <v>0</v>
      </c>
      <c r="L87" s="8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-14.715999999999999</v>
      </c>
      <c r="T87" s="66">
        <v>14.715999999999999</v>
      </c>
      <c r="U87" s="66">
        <v>-2.3690000000000002</v>
      </c>
      <c r="V87" s="66">
        <v>0</v>
      </c>
      <c r="W87" s="66">
        <v>0</v>
      </c>
      <c r="X87" s="66">
        <v>0</v>
      </c>
      <c r="Y87" s="66">
        <v>-2.3690000000000002</v>
      </c>
      <c r="AA87" s="66">
        <v>0</v>
      </c>
      <c r="AB87" s="65">
        <v>-2.37</v>
      </c>
      <c r="AD87" s="66">
        <v>0</v>
      </c>
      <c r="AE87" s="65">
        <v>-2.37</v>
      </c>
    </row>
    <row r="88" spans="1:31" ht="18" hidden="1" customHeight="1" outlineLevel="1" x14ac:dyDescent="0.2">
      <c r="A88" s="35"/>
      <c r="B88" s="35"/>
      <c r="C88" s="4">
        <v>-1.0004221190375686</v>
      </c>
      <c r="D88" s="4">
        <v>-1.0004221190375686</v>
      </c>
      <c r="F88" s="106" t="s">
        <v>48</v>
      </c>
      <c r="H88" s="61">
        <v>-8.6590000000000007</v>
      </c>
      <c r="I88" s="61">
        <v>-6.5890000000000004</v>
      </c>
      <c r="J88" s="61">
        <v>-6.5890000000000004</v>
      </c>
      <c r="K88" s="86">
        <v>0</v>
      </c>
      <c r="L88" s="86">
        <v>0</v>
      </c>
      <c r="M88" s="61">
        <v>0</v>
      </c>
      <c r="N88" s="61">
        <v>0</v>
      </c>
      <c r="O88" s="61">
        <v>0</v>
      </c>
      <c r="P88" s="61">
        <v>0</v>
      </c>
      <c r="Q88" s="61">
        <v>0</v>
      </c>
      <c r="R88" s="61">
        <v>0</v>
      </c>
      <c r="S88" s="61">
        <v>-14.715999999999999</v>
      </c>
      <c r="T88" s="61">
        <v>14.715999999999999</v>
      </c>
      <c r="U88" s="61">
        <v>-2.3690000000000002</v>
      </c>
      <c r="V88" s="61">
        <v>0</v>
      </c>
      <c r="W88" s="61">
        <v>0</v>
      </c>
      <c r="X88" s="61">
        <v>0</v>
      </c>
      <c r="Y88" s="61">
        <v>-2.3690000000000002</v>
      </c>
      <c r="AA88" s="61">
        <v>0</v>
      </c>
      <c r="AB88" s="60">
        <v>-2.37</v>
      </c>
      <c r="AD88" s="61">
        <v>0</v>
      </c>
      <c r="AE88" s="60">
        <v>-2.37</v>
      </c>
    </row>
    <row r="89" spans="1:31" ht="18" hidden="1" customHeight="1" outlineLevel="1" x14ac:dyDescent="0.2">
      <c r="A89" s="30" t="s">
        <v>50</v>
      </c>
      <c r="B89" s="30" t="s">
        <v>17</v>
      </c>
      <c r="C89" s="4">
        <v>-1.0042432814710043</v>
      </c>
      <c r="D89" s="4">
        <v>-1.0042432814710043</v>
      </c>
      <c r="F89" s="106" t="s">
        <v>52</v>
      </c>
      <c r="H89" s="61">
        <v>0.18</v>
      </c>
      <c r="I89" s="61">
        <v>0</v>
      </c>
      <c r="J89" s="61">
        <v>0</v>
      </c>
      <c r="K89" s="86">
        <v>0</v>
      </c>
      <c r="L89" s="86">
        <v>0</v>
      </c>
      <c r="M89" s="61">
        <v>0</v>
      </c>
      <c r="N89" s="61">
        <v>0</v>
      </c>
      <c r="O89" s="61">
        <v>0</v>
      </c>
      <c r="P89" s="61">
        <v>0</v>
      </c>
      <c r="Q89" s="61">
        <v>0</v>
      </c>
      <c r="R89" s="61">
        <v>0</v>
      </c>
      <c r="S89" s="61">
        <v>-0.46800000000000003</v>
      </c>
      <c r="T89" s="61">
        <v>0</v>
      </c>
      <c r="U89" s="61">
        <v>0</v>
      </c>
      <c r="V89" s="61">
        <v>0</v>
      </c>
      <c r="W89" s="61">
        <v>-3.7999999999999978E-2</v>
      </c>
      <c r="X89" s="61">
        <v>-0.20099999999999996</v>
      </c>
      <c r="Y89" s="61">
        <v>-0.70699999999999996</v>
      </c>
      <c r="AA89" s="61">
        <v>0</v>
      </c>
      <c r="AB89" s="60">
        <v>-0.71</v>
      </c>
      <c r="AD89" s="61">
        <v>0</v>
      </c>
      <c r="AE89" s="60">
        <v>-0.71</v>
      </c>
    </row>
    <row r="90" spans="1:31" ht="18" hidden="1" customHeight="1" outlineLevel="1" x14ac:dyDescent="0.2">
      <c r="A90" s="30" t="s">
        <v>49</v>
      </c>
      <c r="B90" s="30" t="s">
        <v>17</v>
      </c>
      <c r="C90" s="4">
        <v>0</v>
      </c>
      <c r="D90" s="4">
        <v>0</v>
      </c>
      <c r="F90" s="106" t="s">
        <v>51</v>
      </c>
      <c r="H90" s="61">
        <v>0</v>
      </c>
      <c r="I90" s="61">
        <v>0</v>
      </c>
      <c r="J90" s="61">
        <v>0</v>
      </c>
      <c r="K90" s="86">
        <v>0</v>
      </c>
      <c r="L90" s="86">
        <v>0</v>
      </c>
      <c r="M90" s="61">
        <v>0</v>
      </c>
      <c r="N90" s="61">
        <v>0</v>
      </c>
      <c r="O90" s="61">
        <v>0</v>
      </c>
      <c r="P90" s="61">
        <v>0</v>
      </c>
      <c r="Q90" s="61">
        <v>0</v>
      </c>
      <c r="R90" s="61">
        <v>0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0</v>
      </c>
      <c r="Y90" s="61">
        <v>0</v>
      </c>
      <c r="AA90" s="61">
        <v>0</v>
      </c>
      <c r="AB90" s="60">
        <v>0</v>
      </c>
      <c r="AD90" s="61">
        <v>0</v>
      </c>
      <c r="AE90" s="60">
        <v>0</v>
      </c>
    </row>
    <row r="91" spans="1:31" ht="18" hidden="1" customHeight="1" outlineLevel="1" x14ac:dyDescent="0.2">
      <c r="A91" s="30" t="s">
        <v>213</v>
      </c>
      <c r="B91" s="30" t="s">
        <v>17</v>
      </c>
      <c r="C91" s="4">
        <v>-1</v>
      </c>
      <c r="D91" s="4">
        <v>-1</v>
      </c>
      <c r="F91" s="106" t="s">
        <v>215</v>
      </c>
      <c r="H91" s="61">
        <v>-2.59</v>
      </c>
      <c r="I91" s="61">
        <v>-1.7889999999999999</v>
      </c>
      <c r="J91" s="61">
        <v>-1.7889999999999999</v>
      </c>
      <c r="K91" s="86">
        <v>0</v>
      </c>
      <c r="L91" s="86">
        <v>0</v>
      </c>
      <c r="M91" s="61">
        <v>-5.7000000000000002E-2</v>
      </c>
      <c r="N91" s="61">
        <v>-4.2000000000000003E-2</v>
      </c>
      <c r="O91" s="61">
        <v>-0.122</v>
      </c>
      <c r="P91" s="61">
        <v>-5.0000000000000044E-3</v>
      </c>
      <c r="Q91" s="61">
        <v>-0.12999999999999998</v>
      </c>
      <c r="R91" s="61">
        <v>-0.16200000000000003</v>
      </c>
      <c r="S91" s="61">
        <v>-5.4999999999999938E-2</v>
      </c>
      <c r="T91" s="61">
        <v>-0.18300000000000005</v>
      </c>
      <c r="U91" s="61">
        <v>-3.6000000000000032E-2</v>
      </c>
      <c r="V91" s="61">
        <v>-2.4999999999999911E-2</v>
      </c>
      <c r="W91" s="61">
        <v>-7.3000000000000065E-2</v>
      </c>
      <c r="X91" s="61">
        <v>-3.0000000000000027E-2</v>
      </c>
      <c r="Y91" s="61">
        <v>-0.92</v>
      </c>
      <c r="AA91" s="61">
        <v>0</v>
      </c>
      <c r="AB91" s="60">
        <v>-0.92</v>
      </c>
      <c r="AD91" s="61">
        <v>0</v>
      </c>
      <c r="AE91" s="60">
        <v>-0.92</v>
      </c>
    </row>
    <row r="92" spans="1:31" ht="18" hidden="1" customHeight="1" outlineLevel="1" x14ac:dyDescent="0.2">
      <c r="A92" s="30" t="s">
        <v>214</v>
      </c>
      <c r="B92" s="30" t="s">
        <v>17</v>
      </c>
      <c r="C92" s="4">
        <v>0</v>
      </c>
      <c r="D92" s="4">
        <v>0</v>
      </c>
      <c r="F92" s="106" t="s">
        <v>216</v>
      </c>
      <c r="H92" s="61">
        <v>0</v>
      </c>
      <c r="I92" s="61">
        <v>0</v>
      </c>
      <c r="J92" s="61">
        <v>0</v>
      </c>
      <c r="K92" s="86">
        <v>0</v>
      </c>
      <c r="L92" s="86">
        <v>0</v>
      </c>
      <c r="M92" s="61">
        <v>0</v>
      </c>
      <c r="N92" s="61">
        <v>0</v>
      </c>
      <c r="O92" s="61">
        <v>0</v>
      </c>
      <c r="P92" s="61">
        <v>0</v>
      </c>
      <c r="Q92" s="61">
        <v>0</v>
      </c>
      <c r="R92" s="61">
        <v>0</v>
      </c>
      <c r="S92" s="61">
        <v>0</v>
      </c>
      <c r="T92" s="61">
        <v>0</v>
      </c>
      <c r="U92" s="61">
        <v>0</v>
      </c>
      <c r="V92" s="61">
        <v>0</v>
      </c>
      <c r="W92" s="61">
        <v>0</v>
      </c>
      <c r="X92" s="61">
        <v>0</v>
      </c>
      <c r="Y92" s="61">
        <v>0</v>
      </c>
      <c r="AA92" s="61">
        <v>0</v>
      </c>
      <c r="AB92" s="60">
        <v>0</v>
      </c>
      <c r="AD92" s="61">
        <v>0</v>
      </c>
      <c r="AE92" s="60">
        <v>0</v>
      </c>
    </row>
    <row r="93" spans="1:31" ht="18" hidden="1" customHeight="1" outlineLevel="2" x14ac:dyDescent="0.2">
      <c r="A93" s="33" t="s">
        <v>53</v>
      </c>
      <c r="B93" s="33" t="s">
        <v>17</v>
      </c>
      <c r="C93" s="4">
        <v>-1</v>
      </c>
      <c r="D93" s="4">
        <v>-1</v>
      </c>
      <c r="F93" s="38" t="s">
        <v>55</v>
      </c>
      <c r="H93" s="66">
        <v>105.447</v>
      </c>
      <c r="I93" s="66">
        <v>44.843000000000004</v>
      </c>
      <c r="J93" s="66">
        <v>44.843000000000004</v>
      </c>
      <c r="K93" s="86">
        <v>0</v>
      </c>
      <c r="L93" s="86">
        <v>0</v>
      </c>
      <c r="M93" s="66">
        <v>-3.5527136788005001E-15</v>
      </c>
      <c r="N93" s="66">
        <v>1.06581410364015E-14</v>
      </c>
      <c r="O93" s="66">
        <v>-7.1054273576009995E-15</v>
      </c>
      <c r="P93" s="66">
        <v>0</v>
      </c>
      <c r="Q93" s="66">
        <v>0</v>
      </c>
      <c r="R93" s="66">
        <v>-2.8421709430404001E-14</v>
      </c>
      <c r="S93" s="66">
        <v>1.0000000000331918E-3</v>
      </c>
      <c r="T93" s="66">
        <v>-1.0000000000047701E-3</v>
      </c>
      <c r="U93" s="66">
        <v>0</v>
      </c>
      <c r="V93" s="66">
        <v>-46.442</v>
      </c>
      <c r="W93" s="66">
        <v>-4.8000000000001819E-2</v>
      </c>
      <c r="X93" s="66">
        <v>0</v>
      </c>
      <c r="Y93" s="66">
        <v>-46.49</v>
      </c>
      <c r="AA93" s="66">
        <v>0</v>
      </c>
      <c r="AB93" s="60">
        <v>-46.49</v>
      </c>
      <c r="AD93" s="66">
        <v>0</v>
      </c>
      <c r="AE93" s="60">
        <v>-46.49</v>
      </c>
    </row>
    <row r="94" spans="1:31" ht="18" hidden="1" customHeight="1" outlineLevel="2" x14ac:dyDescent="0.2">
      <c r="A94" s="33" t="s">
        <v>54</v>
      </c>
      <c r="B94" s="33" t="s">
        <v>17</v>
      </c>
      <c r="C94" s="4">
        <v>0</v>
      </c>
      <c r="D94" s="4">
        <v>0</v>
      </c>
      <c r="F94" s="38" t="s">
        <v>56</v>
      </c>
      <c r="H94" s="66">
        <v>0</v>
      </c>
      <c r="I94" s="66">
        <v>0</v>
      </c>
      <c r="J94" s="66">
        <v>0</v>
      </c>
      <c r="K94" s="86">
        <v>0</v>
      </c>
      <c r="L94" s="8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AA94" s="66">
        <v>0</v>
      </c>
      <c r="AB94" s="60">
        <v>0</v>
      </c>
      <c r="AD94" s="66">
        <v>0</v>
      </c>
      <c r="AE94" s="60">
        <v>0</v>
      </c>
    </row>
    <row r="95" spans="1:31" ht="18" hidden="1" customHeight="1" outlineLevel="1" x14ac:dyDescent="0.2">
      <c r="A95" s="35"/>
      <c r="B95" s="35"/>
      <c r="C95" s="4">
        <v>0.99974166881944126</v>
      </c>
      <c r="D95" s="4">
        <v>0.99974166881944126</v>
      </c>
      <c r="F95" s="106" t="s">
        <v>58</v>
      </c>
      <c r="H95" s="61">
        <v>-12.981000000000096</v>
      </c>
      <c r="I95" s="61">
        <v>-10.795000000000229</v>
      </c>
      <c r="J95" s="61">
        <v>-10.795000000000229</v>
      </c>
      <c r="K95" s="86">
        <v>0</v>
      </c>
      <c r="L95" s="86">
        <v>0</v>
      </c>
      <c r="M95" s="61">
        <v>0.15699999999999431</v>
      </c>
      <c r="N95" s="61">
        <v>0.60000000000003539</v>
      </c>
      <c r="O95" s="61">
        <v>0.82999999999996998</v>
      </c>
      <c r="P95" s="61">
        <v>-1.0300000000000393</v>
      </c>
      <c r="Q95" s="61">
        <v>2.3450000000000601</v>
      </c>
      <c r="R95" s="61">
        <v>-0.5760000000001132</v>
      </c>
      <c r="S95" s="61">
        <v>22.100000000000218</v>
      </c>
      <c r="T95" s="61">
        <v>-22.790000000000148</v>
      </c>
      <c r="U95" s="61">
        <v>6.7729999999999944</v>
      </c>
      <c r="V95" s="61">
        <v>-5.2610000000002568</v>
      </c>
      <c r="W95" s="61">
        <v>1.8530000000000189</v>
      </c>
      <c r="X95" s="61">
        <v>-1.1299999999997341</v>
      </c>
      <c r="Y95" s="61">
        <v>3.8709999999999432</v>
      </c>
      <c r="AA95" s="61">
        <v>0</v>
      </c>
      <c r="AB95" s="60">
        <v>3.87</v>
      </c>
      <c r="AD95" s="61">
        <v>0</v>
      </c>
      <c r="AE95" s="60">
        <v>3.87</v>
      </c>
    </row>
    <row r="96" spans="1:31" ht="18" customHeight="1" collapsed="1" x14ac:dyDescent="0.2">
      <c r="A96" s="35"/>
      <c r="B96" s="35"/>
      <c r="C96" s="4">
        <v>-1.0399999999995271</v>
      </c>
      <c r="D96" s="4">
        <v>-1.0399999999995271</v>
      </c>
      <c r="F96" s="45" t="s">
        <v>26</v>
      </c>
      <c r="H96" s="62">
        <v>-24.050000000000097</v>
      </c>
      <c r="I96" s="62">
        <v>-19.173000000000229</v>
      </c>
      <c r="J96" s="62">
        <v>-19.173000000000229</v>
      </c>
      <c r="K96" s="108">
        <v>0</v>
      </c>
      <c r="L96" s="108">
        <v>0</v>
      </c>
      <c r="M96" s="62">
        <v>9.9999999999994316E-2</v>
      </c>
      <c r="N96" s="62">
        <v>0.55800000000003536</v>
      </c>
      <c r="O96" s="62">
        <v>0.70799999999996999</v>
      </c>
      <c r="P96" s="62">
        <v>-1.0350000000000392</v>
      </c>
      <c r="Q96" s="62">
        <v>2.2150000000000603</v>
      </c>
      <c r="R96" s="62">
        <v>-0.73800000000011323</v>
      </c>
      <c r="S96" s="62">
        <v>6.8610000000002174</v>
      </c>
      <c r="T96" s="62">
        <v>-8.2570000000001471</v>
      </c>
      <c r="U96" s="62">
        <v>4.367999999999995</v>
      </c>
      <c r="V96" s="62">
        <v>-5.2860000000002572</v>
      </c>
      <c r="W96" s="62">
        <v>1.7420000000000186</v>
      </c>
      <c r="X96" s="62">
        <v>-1.3609999999997342</v>
      </c>
      <c r="Y96" s="62">
        <v>-0.12500000000005684</v>
      </c>
      <c r="AA96" s="62">
        <v>0</v>
      </c>
      <c r="AB96" s="60">
        <v>-0.13</v>
      </c>
      <c r="AD96" s="62">
        <v>0</v>
      </c>
      <c r="AE96" s="60">
        <v>-0.13</v>
      </c>
    </row>
    <row r="97" spans="1:31" ht="18" customHeight="1" x14ac:dyDescent="0.2">
      <c r="A97" s="30" t="s">
        <v>16</v>
      </c>
      <c r="B97" s="30" t="s">
        <v>17</v>
      </c>
      <c r="C97" s="4">
        <v>4.0571164550834968E-2</v>
      </c>
      <c r="D97" s="4">
        <v>-9.3851821861666643E-3</v>
      </c>
      <c r="F97" s="95" t="s">
        <v>118</v>
      </c>
      <c r="H97" s="64">
        <v>-2592.2710000000002</v>
      </c>
      <c r="I97" s="64">
        <v>-2565.4110000000001</v>
      </c>
      <c r="J97" s="64">
        <v>-2565.4110000000001</v>
      </c>
      <c r="K97" s="89">
        <v>-2499.8049999999998</v>
      </c>
      <c r="L97" s="89">
        <v>-2376.0859999999998</v>
      </c>
      <c r="M97" s="64">
        <v>-214.94800000000001</v>
      </c>
      <c r="N97" s="64">
        <v>-185.24199999999999</v>
      </c>
      <c r="O97" s="64">
        <v>-248.15100000000001</v>
      </c>
      <c r="P97" s="64">
        <v>-214.83000000000004</v>
      </c>
      <c r="Q97" s="64">
        <v>-177.17499999999995</v>
      </c>
      <c r="R97" s="64">
        <v>-222.57300000000009</v>
      </c>
      <c r="S97" s="64">
        <v>-216.78499999999985</v>
      </c>
      <c r="T97" s="64">
        <v>-194.95600000000013</v>
      </c>
      <c r="U97" s="64">
        <v>-184.67699999999991</v>
      </c>
      <c r="V97" s="64">
        <v>-173.13900000000012</v>
      </c>
      <c r="W97" s="64">
        <v>-178.13200000000006</v>
      </c>
      <c r="X97" s="64">
        <v>-187.77299999999968</v>
      </c>
      <c r="Y97" s="64">
        <v>-2398.3809999999999</v>
      </c>
      <c r="AA97" s="64">
        <v>-2499.8049999999998</v>
      </c>
      <c r="AB97" s="60">
        <v>101.42</v>
      </c>
      <c r="AD97" s="64">
        <v>-2376.0859999999998</v>
      </c>
      <c r="AE97" s="60">
        <v>-22.3</v>
      </c>
    </row>
    <row r="98" spans="1:31" ht="12.95" customHeight="1" x14ac:dyDescent="0.2">
      <c r="A98" s="35"/>
      <c r="B98" s="35"/>
      <c r="C98" s="4"/>
      <c r="D98" s="4"/>
      <c r="F98" s="39" t="s">
        <v>223</v>
      </c>
      <c r="H98" s="56">
        <v>0.4110691310475712</v>
      </c>
      <c r="I98" s="56">
        <v>0.38202170726963908</v>
      </c>
      <c r="J98" s="56">
        <v>0.38202170726963908</v>
      </c>
      <c r="K98" s="109">
        <v>0.39028821598298707</v>
      </c>
      <c r="L98" s="109">
        <v>0.37193763257429596</v>
      </c>
      <c r="M98" s="56">
        <v>0.41176673422551885</v>
      </c>
      <c r="N98" s="56">
        <v>0.32279717355127074</v>
      </c>
      <c r="O98" s="56">
        <v>0.47042576061178809</v>
      </c>
      <c r="P98" s="56">
        <v>0.33933027957668621</v>
      </c>
      <c r="Q98" s="56">
        <v>0.32922976865186271</v>
      </c>
      <c r="R98" s="56">
        <v>0.39824115657821779</v>
      </c>
      <c r="S98" s="56">
        <v>0.42311896164731094</v>
      </c>
      <c r="T98" s="56">
        <v>0.36846303009226933</v>
      </c>
      <c r="U98" s="56">
        <v>0.33829698370769845</v>
      </c>
      <c r="V98" s="56">
        <v>0.34265544661835051</v>
      </c>
      <c r="W98" s="56">
        <v>0.30567376860139517</v>
      </c>
      <c r="X98" s="56">
        <v>0.32084621259886842</v>
      </c>
      <c r="Y98" s="56">
        <v>0.36261303587862465</v>
      </c>
      <c r="AA98" s="56">
        <v>0.39028821598298707</v>
      </c>
      <c r="AB98" s="57"/>
      <c r="AD98" s="56">
        <v>0.37193763257429596</v>
      </c>
      <c r="AE98" s="57"/>
    </row>
    <row r="99" spans="1:31" ht="6.95" customHeight="1" x14ac:dyDescent="0.2">
      <c r="C99" s="4"/>
      <c r="D99" s="4"/>
      <c r="F99" s="96"/>
      <c r="K99" s="110"/>
      <c r="L99" s="110"/>
      <c r="AB99" s="7"/>
      <c r="AE99" s="7"/>
    </row>
    <row r="100" spans="1:31" ht="18" hidden="1" customHeight="1" outlineLevel="1" x14ac:dyDescent="0.2">
      <c r="A100" s="30" t="s">
        <v>36</v>
      </c>
      <c r="B100" s="30" t="s">
        <v>59</v>
      </c>
      <c r="C100" s="4"/>
      <c r="D100" s="4"/>
      <c r="F100" s="51" t="s">
        <v>235</v>
      </c>
      <c r="G100" s="34"/>
      <c r="H100" s="72">
        <v>1.99</v>
      </c>
      <c r="I100" s="72">
        <v>2.9609999999999999</v>
      </c>
      <c r="J100" s="72">
        <v>2.9609999999999999</v>
      </c>
      <c r="K100" s="111">
        <v>2.82</v>
      </c>
      <c r="L100" s="111">
        <v>3.76</v>
      </c>
      <c r="M100" s="72">
        <v>3.8040000000000003</v>
      </c>
      <c r="N100" s="72">
        <v>3.8040000000000003</v>
      </c>
      <c r="O100" s="72">
        <v>3.3960000000000008</v>
      </c>
      <c r="P100" s="72">
        <v>3.8039999999999985</v>
      </c>
      <c r="Q100" s="72">
        <v>3.8039999999999985</v>
      </c>
      <c r="R100" s="72">
        <v>3.804000000000002</v>
      </c>
      <c r="S100" s="72">
        <v>3.8039999999999985</v>
      </c>
      <c r="T100" s="72">
        <v>3.8039999999999985</v>
      </c>
      <c r="U100" s="72">
        <v>2.9880000000000031</v>
      </c>
      <c r="V100" s="72">
        <v>3.9840000000000018</v>
      </c>
      <c r="W100" s="72">
        <v>3.9840000000000018</v>
      </c>
      <c r="X100" s="72">
        <v>3.9839999999999947</v>
      </c>
      <c r="Y100" s="72">
        <v>3.7469999999999999</v>
      </c>
      <c r="Z100" s="34"/>
      <c r="AA100" s="72">
        <v>2.82</v>
      </c>
      <c r="AB100" s="73">
        <v>0.93</v>
      </c>
      <c r="AC100" s="34"/>
      <c r="AD100" s="72">
        <v>3.76</v>
      </c>
      <c r="AE100" s="73">
        <v>-0.01</v>
      </c>
    </row>
    <row r="101" spans="1:31" ht="18" hidden="1" customHeight="1" outlineLevel="1" x14ac:dyDescent="0.2">
      <c r="A101" s="30" t="s">
        <v>36</v>
      </c>
      <c r="B101" s="30" t="s">
        <v>60</v>
      </c>
      <c r="C101" s="4"/>
      <c r="D101" s="4"/>
      <c r="F101" s="51" t="s">
        <v>236</v>
      </c>
      <c r="G101" s="34"/>
      <c r="H101" s="72">
        <v>0</v>
      </c>
      <c r="I101" s="72">
        <v>0.96200000000000008</v>
      </c>
      <c r="J101" s="72">
        <v>0.96199999999999997</v>
      </c>
      <c r="K101" s="111">
        <v>1</v>
      </c>
      <c r="L101" s="111">
        <v>1</v>
      </c>
      <c r="M101" s="72">
        <v>0.996</v>
      </c>
      <c r="N101" s="72">
        <v>0.996</v>
      </c>
      <c r="O101" s="72">
        <v>0.996</v>
      </c>
      <c r="P101" s="72">
        <v>0.996</v>
      </c>
      <c r="Q101" s="72">
        <v>0.99599999999999955</v>
      </c>
      <c r="R101" s="72">
        <v>0.99600000000000044</v>
      </c>
      <c r="S101" s="72">
        <v>0.99599999999999955</v>
      </c>
      <c r="T101" s="72">
        <v>0.99600000000000044</v>
      </c>
      <c r="U101" s="72">
        <v>0.99600000000000044</v>
      </c>
      <c r="V101" s="72">
        <v>0.99599999999999866</v>
      </c>
      <c r="W101" s="72">
        <v>0.99600000000000044</v>
      </c>
      <c r="X101" s="72">
        <v>0.99600000000000044</v>
      </c>
      <c r="Y101" s="72">
        <v>0.996</v>
      </c>
      <c r="Z101" s="34"/>
      <c r="AA101" s="72">
        <v>1</v>
      </c>
      <c r="AB101" s="73">
        <v>0</v>
      </c>
      <c r="AC101" s="34"/>
      <c r="AD101" s="72">
        <v>1</v>
      </c>
      <c r="AE101" s="73">
        <v>0</v>
      </c>
    </row>
    <row r="102" spans="1:31" ht="18" hidden="1" customHeight="1" outlineLevel="1" x14ac:dyDescent="0.2">
      <c r="A102" s="30" t="s">
        <v>36</v>
      </c>
      <c r="B102" s="30" t="s">
        <v>61</v>
      </c>
      <c r="C102" s="4"/>
      <c r="D102" s="4"/>
      <c r="F102" s="51" t="s">
        <v>237</v>
      </c>
      <c r="G102" s="34"/>
      <c r="H102" s="72">
        <v>28.38</v>
      </c>
      <c r="I102" s="72">
        <v>25.483999999999998</v>
      </c>
      <c r="J102" s="72">
        <v>25.484000000000002</v>
      </c>
      <c r="K102" s="111">
        <v>26.28</v>
      </c>
      <c r="L102" s="111">
        <v>25.515000000000001</v>
      </c>
      <c r="M102" s="72">
        <v>26.603999999999999</v>
      </c>
      <c r="N102" s="72">
        <v>24.515999999999998</v>
      </c>
      <c r="O102" s="72">
        <v>25.140000000000008</v>
      </c>
      <c r="P102" s="72">
        <v>22.667999999999992</v>
      </c>
      <c r="Q102" s="72">
        <v>22.739999999999995</v>
      </c>
      <c r="R102" s="72">
        <v>23.184000000000012</v>
      </c>
      <c r="S102" s="72">
        <v>26.159999999999997</v>
      </c>
      <c r="T102" s="72">
        <v>25.139999999999986</v>
      </c>
      <c r="U102" s="72">
        <v>26.075999999999993</v>
      </c>
      <c r="V102" s="72">
        <v>25.896000000000015</v>
      </c>
      <c r="W102" s="72">
        <v>27.107999999999976</v>
      </c>
      <c r="X102" s="72">
        <v>27.600000000000023</v>
      </c>
      <c r="Y102" s="72">
        <v>25.236000000000001</v>
      </c>
      <c r="Z102" s="34"/>
      <c r="AA102" s="72">
        <v>26.28</v>
      </c>
      <c r="AB102" s="73">
        <v>-1.04</v>
      </c>
      <c r="AC102" s="34"/>
      <c r="AD102" s="72">
        <v>25.515000000000001</v>
      </c>
      <c r="AE102" s="73">
        <v>-0.28000000000000003</v>
      </c>
    </row>
    <row r="103" spans="1:31" ht="18" hidden="1" customHeight="1" outlineLevel="1" x14ac:dyDescent="0.2">
      <c r="A103" s="30" t="s">
        <v>36</v>
      </c>
      <c r="B103" s="30" t="s">
        <v>62</v>
      </c>
      <c r="C103" s="4"/>
      <c r="D103" s="4"/>
      <c r="F103" s="51" t="s">
        <v>238</v>
      </c>
      <c r="G103" s="34"/>
      <c r="H103" s="72">
        <v>1.52</v>
      </c>
      <c r="I103" s="72">
        <v>1.1399999999999999</v>
      </c>
      <c r="J103" s="72">
        <v>1.1399999999999999</v>
      </c>
      <c r="K103" s="111">
        <v>1</v>
      </c>
      <c r="L103" s="111">
        <v>0.499</v>
      </c>
      <c r="M103" s="72">
        <v>1.992</v>
      </c>
      <c r="N103" s="72">
        <v>1.992</v>
      </c>
      <c r="O103" s="72">
        <v>1.992</v>
      </c>
      <c r="P103" s="72">
        <v>0.99599999999999955</v>
      </c>
      <c r="Q103" s="72">
        <v>0.99600000000000044</v>
      </c>
      <c r="R103" s="72">
        <v>0.99600000000000044</v>
      </c>
      <c r="S103" s="72">
        <v>0.94799999999999862</v>
      </c>
      <c r="T103" s="72">
        <v>0.99600000000000222</v>
      </c>
      <c r="U103" s="72">
        <v>1.259999999999998</v>
      </c>
      <c r="V103" s="72">
        <v>1.9080000000000013</v>
      </c>
      <c r="W103" s="72">
        <v>1.9919999999999973</v>
      </c>
      <c r="X103" s="72">
        <v>1.9920000000000009</v>
      </c>
      <c r="Y103" s="72">
        <v>1.5049999999999999</v>
      </c>
      <c r="Z103" s="34"/>
      <c r="AA103" s="72">
        <v>1</v>
      </c>
      <c r="AB103" s="73">
        <v>0.51</v>
      </c>
      <c r="AC103" s="34"/>
      <c r="AD103" s="72">
        <v>0.499</v>
      </c>
      <c r="AE103" s="73">
        <v>1.01</v>
      </c>
    </row>
    <row r="104" spans="1:31" ht="18" customHeight="1" collapsed="1" x14ac:dyDescent="0.2">
      <c r="A104" s="30" t="s">
        <v>36</v>
      </c>
      <c r="B104" s="30" t="s">
        <v>18</v>
      </c>
      <c r="C104" s="4"/>
      <c r="D104" s="4"/>
      <c r="F104" s="97" t="s">
        <v>239</v>
      </c>
      <c r="H104" s="74">
        <v>31.89</v>
      </c>
      <c r="I104" s="74">
        <v>30.547000000000001</v>
      </c>
      <c r="J104" s="74">
        <v>30.547000000000001</v>
      </c>
      <c r="K104" s="112">
        <v>31.1</v>
      </c>
      <c r="L104" s="112">
        <v>30.774000000000001</v>
      </c>
      <c r="M104" s="74">
        <v>33.396000000000001</v>
      </c>
      <c r="N104" s="74">
        <v>31.308000000000007</v>
      </c>
      <c r="O104" s="74">
        <v>31.524000000000001</v>
      </c>
      <c r="P104" s="74">
        <v>28.463999999999999</v>
      </c>
      <c r="Q104" s="74">
        <v>28.536000000000001</v>
      </c>
      <c r="R104" s="74">
        <v>28.97999999999999</v>
      </c>
      <c r="S104" s="74">
        <v>31.907999999999987</v>
      </c>
      <c r="T104" s="74">
        <v>30.936000000000007</v>
      </c>
      <c r="U104" s="74">
        <v>31.319999999999965</v>
      </c>
      <c r="V104" s="74">
        <v>32.784000000000049</v>
      </c>
      <c r="W104" s="74">
        <v>34.079999999999984</v>
      </c>
      <c r="X104" s="74">
        <v>34.572000000000003</v>
      </c>
      <c r="Y104" s="74">
        <v>31.483999999999998</v>
      </c>
      <c r="AA104" s="74">
        <v>31.1</v>
      </c>
      <c r="AB104" s="73">
        <v>0.38</v>
      </c>
      <c r="AD104" s="74">
        <v>30.774000000000001</v>
      </c>
      <c r="AE104" s="73">
        <v>0.71</v>
      </c>
    </row>
    <row r="105" spans="1:31" ht="18" hidden="1" customHeight="1" outlineLevel="1" collapsed="1" x14ac:dyDescent="0.2">
      <c r="A105" s="33" t="s">
        <v>211</v>
      </c>
      <c r="B105" s="33" t="s">
        <v>18</v>
      </c>
      <c r="C105" s="4"/>
      <c r="D105" s="4"/>
      <c r="F105" s="98" t="s">
        <v>212</v>
      </c>
      <c r="G105" s="34"/>
      <c r="H105" s="75">
        <v>33.716000000000001</v>
      </c>
      <c r="I105" s="75">
        <v>32.582000000000001</v>
      </c>
      <c r="J105" s="75">
        <v>32.582000000000001</v>
      </c>
      <c r="K105" s="112">
        <v>31.1</v>
      </c>
      <c r="L105" s="112">
        <v>30.774000000000001</v>
      </c>
      <c r="M105" s="75">
        <v>33.576000000000001</v>
      </c>
      <c r="N105" s="75">
        <v>33.948</v>
      </c>
      <c r="O105" s="75">
        <v>33.420000000000016</v>
      </c>
      <c r="P105" s="75">
        <v>30.419999999999959</v>
      </c>
      <c r="Q105" s="75">
        <v>30.876000000000033</v>
      </c>
      <c r="R105" s="75">
        <v>31.043999999999983</v>
      </c>
      <c r="S105" s="75">
        <v>33.695999999999998</v>
      </c>
      <c r="T105" s="75">
        <v>33.828000000000003</v>
      </c>
      <c r="U105" s="75">
        <v>32.72399999999999</v>
      </c>
      <c r="V105" s="75">
        <v>34.164000000000044</v>
      </c>
      <c r="W105" s="75">
        <v>35.94</v>
      </c>
      <c r="X105" s="75">
        <v>35.783999999999935</v>
      </c>
      <c r="Y105" s="75">
        <v>33.284999999999997</v>
      </c>
      <c r="Z105" s="34"/>
      <c r="AA105" s="75">
        <v>31.1</v>
      </c>
      <c r="AB105" s="76">
        <v>2.19</v>
      </c>
      <c r="AC105" s="34"/>
      <c r="AD105" s="75">
        <v>30.774000000000001</v>
      </c>
      <c r="AE105" s="76">
        <v>2.5099999999999998</v>
      </c>
    </row>
    <row r="106" spans="1:31" ht="18" hidden="1" customHeight="1" outlineLevel="1" collapsed="1" x14ac:dyDescent="0.2">
      <c r="A106" s="35"/>
      <c r="B106" s="35"/>
      <c r="C106" s="4"/>
      <c r="D106" s="4"/>
      <c r="F106" s="97" t="s">
        <v>240</v>
      </c>
      <c r="H106" s="74">
        <v>1.8260000000000005</v>
      </c>
      <c r="I106" s="74">
        <v>2.0350000000000001</v>
      </c>
      <c r="J106" s="74">
        <v>2.0350000000000001</v>
      </c>
      <c r="K106" s="112">
        <v>0</v>
      </c>
      <c r="L106" s="112">
        <v>0</v>
      </c>
      <c r="M106" s="74">
        <v>0.17999999999999972</v>
      </c>
      <c r="N106" s="74">
        <v>2.6399999999999935</v>
      </c>
      <c r="O106" s="74">
        <v>1.896000000000015</v>
      </c>
      <c r="P106" s="74">
        <v>1.9559999999999604</v>
      </c>
      <c r="Q106" s="74">
        <v>2.3400000000000318</v>
      </c>
      <c r="R106" s="74">
        <v>2.063999999999993</v>
      </c>
      <c r="S106" s="74">
        <v>1.7880000000000109</v>
      </c>
      <c r="T106" s="74">
        <v>2.8919999999999959</v>
      </c>
      <c r="U106" s="74">
        <v>1.4040000000000248</v>
      </c>
      <c r="V106" s="74">
        <v>1.3799999999999955</v>
      </c>
      <c r="W106" s="74">
        <v>1.8600000000000136</v>
      </c>
      <c r="X106" s="74">
        <v>1.2119999999999322</v>
      </c>
      <c r="Y106" s="74">
        <v>1.8009999999999984</v>
      </c>
      <c r="AA106" s="74">
        <v>0</v>
      </c>
      <c r="AB106" s="73">
        <v>1.8</v>
      </c>
      <c r="AD106" s="74">
        <v>0</v>
      </c>
      <c r="AE106" s="73">
        <v>1.8</v>
      </c>
    </row>
    <row r="107" spans="1:31" ht="12.95" hidden="1" customHeight="1" outlineLevel="1" x14ac:dyDescent="0.2">
      <c r="A107" s="35"/>
      <c r="B107" s="35"/>
      <c r="C107" s="4"/>
      <c r="D107" s="4"/>
      <c r="F107" s="39" t="s">
        <v>37</v>
      </c>
      <c r="H107" s="68">
        <v>5.415826313916243E-2</v>
      </c>
      <c r="I107" s="68">
        <v>6.2457798784605001E-2</v>
      </c>
      <c r="J107" s="68">
        <v>6.2457798784605001E-2</v>
      </c>
      <c r="K107" s="113">
        <v>0</v>
      </c>
      <c r="L107" s="113">
        <v>0</v>
      </c>
      <c r="M107" s="68">
        <v>5.3609721229449523E-3</v>
      </c>
      <c r="N107" s="68">
        <v>7.7765995051254672E-2</v>
      </c>
      <c r="O107" s="68">
        <v>5.6732495511670082E-2</v>
      </c>
      <c r="P107" s="68">
        <v>6.4299802761340008E-2</v>
      </c>
      <c r="Q107" s="68">
        <v>7.578701904391856E-2</v>
      </c>
      <c r="R107" s="68">
        <v>6.6486277541553729E-2</v>
      </c>
      <c r="S107" s="68">
        <v>5.3062678062678392E-2</v>
      </c>
      <c r="T107" s="68">
        <v>8.5491308974813635E-2</v>
      </c>
      <c r="U107" s="68">
        <v>4.2904290429043673E-2</v>
      </c>
      <c r="V107" s="68">
        <v>4.0393396557779931E-2</v>
      </c>
      <c r="W107" s="68">
        <v>5.1752921535893538E-2</v>
      </c>
      <c r="X107" s="68">
        <v>3.3869885982560209E-2</v>
      </c>
      <c r="Y107" s="68">
        <v>5.4108457263031352E-2</v>
      </c>
      <c r="AA107" s="68">
        <v>0</v>
      </c>
      <c r="AB107" s="69"/>
      <c r="AD107" s="68">
        <v>0</v>
      </c>
      <c r="AE107" s="69"/>
    </row>
    <row r="108" spans="1:31" ht="18" customHeight="1" collapsed="1" x14ac:dyDescent="0.2">
      <c r="A108" s="30" t="s">
        <v>220</v>
      </c>
      <c r="B108" s="30" t="s">
        <v>18</v>
      </c>
      <c r="C108" s="4">
        <v>2.6005651396662458E-2</v>
      </c>
      <c r="D108" s="4">
        <v>-2.3439213892689607E-2</v>
      </c>
      <c r="F108" s="106" t="s">
        <v>66</v>
      </c>
      <c r="H108" s="61">
        <v>-1565.547</v>
      </c>
      <c r="I108" s="61">
        <v>-1548.92</v>
      </c>
      <c r="J108" s="61">
        <v>-1548.92</v>
      </c>
      <c r="K108" s="86">
        <v>-1578.8875800000001</v>
      </c>
      <c r="L108" s="86">
        <v>-1502.6101200000001</v>
      </c>
      <c r="M108" s="61">
        <v>-134.23500000000001</v>
      </c>
      <c r="N108" s="61">
        <v>-120.47099999999998</v>
      </c>
      <c r="O108" s="61">
        <v>-129.34700000000001</v>
      </c>
      <c r="P108" s="61">
        <v>-114.166</v>
      </c>
      <c r="Q108" s="61">
        <v>-114.40199999999999</v>
      </c>
      <c r="R108" s="61">
        <v>-139.44600000000003</v>
      </c>
      <c r="S108" s="61">
        <v>-121</v>
      </c>
      <c r="T108" s="61">
        <v>-120.77800000000002</v>
      </c>
      <c r="U108" s="61">
        <v>-135.35500000000002</v>
      </c>
      <c r="V108" s="61">
        <v>-129.05399999999986</v>
      </c>
      <c r="W108" s="61">
        <v>-133.68600000000015</v>
      </c>
      <c r="X108" s="61">
        <v>-145.88599999999997</v>
      </c>
      <c r="Y108" s="61">
        <v>-1537.826</v>
      </c>
      <c r="AA108" s="61">
        <v>-1578.8875799999998</v>
      </c>
      <c r="AB108" s="60">
        <v>41.06</v>
      </c>
      <c r="AD108" s="61">
        <v>-1502.6101200000001</v>
      </c>
      <c r="AE108" s="60">
        <v>-35.22</v>
      </c>
    </row>
    <row r="109" spans="1:31" ht="18" customHeight="1" x14ac:dyDescent="0.2">
      <c r="A109" s="30" t="s">
        <v>218</v>
      </c>
      <c r="B109" s="30" t="s">
        <v>18</v>
      </c>
      <c r="C109" s="4">
        <v>-0.99986303246130659</v>
      </c>
      <c r="D109" s="4">
        <v>-0.99986303246130659</v>
      </c>
      <c r="F109" s="104" t="s">
        <v>219</v>
      </c>
      <c r="G109" s="36"/>
      <c r="H109" s="65">
        <v>13.441000000000001</v>
      </c>
      <c r="I109" s="65">
        <v>10.343999999999999</v>
      </c>
      <c r="J109" s="65">
        <v>10.343999999999999</v>
      </c>
      <c r="K109" s="65">
        <v>0</v>
      </c>
      <c r="L109" s="65">
        <v>0</v>
      </c>
      <c r="M109" s="65">
        <v>-10.638999999999999</v>
      </c>
      <c r="N109" s="65">
        <v>-9.5280000000000022</v>
      </c>
      <c r="O109" s="65">
        <v>-0.84799999999999898</v>
      </c>
      <c r="P109" s="65">
        <v>-6.4890000000000008</v>
      </c>
      <c r="Q109" s="65">
        <v>8.6070000000000029</v>
      </c>
      <c r="R109" s="65">
        <v>1.407</v>
      </c>
      <c r="S109" s="65">
        <v>4.3609999999999989</v>
      </c>
      <c r="T109" s="65">
        <v>18.341999999999999</v>
      </c>
      <c r="U109" s="65">
        <v>7.5020000000000007</v>
      </c>
      <c r="V109" s="65">
        <v>-3.8320000000000007</v>
      </c>
      <c r="W109" s="65">
        <v>-9.0020000000000007</v>
      </c>
      <c r="X109" s="65">
        <v>-7.1819999999999986</v>
      </c>
      <c r="Y109" s="65">
        <v>-7.3010000000000002</v>
      </c>
      <c r="Z109" s="36"/>
      <c r="AA109" s="65">
        <v>0</v>
      </c>
      <c r="AB109" s="60">
        <v>-7.3</v>
      </c>
      <c r="AC109" s="36"/>
      <c r="AD109" s="65">
        <v>0</v>
      </c>
      <c r="AE109" s="60">
        <v>-7.3</v>
      </c>
    </row>
    <row r="110" spans="1:31" ht="18" customHeight="1" x14ac:dyDescent="0.2">
      <c r="A110" s="30" t="s">
        <v>34</v>
      </c>
      <c r="B110" s="30" t="s">
        <v>18</v>
      </c>
      <c r="C110" s="4">
        <v>1.0001604106512674</v>
      </c>
      <c r="D110" s="4">
        <v>1.0001604106512674</v>
      </c>
      <c r="F110" s="106" t="s">
        <v>57</v>
      </c>
      <c r="H110" s="61">
        <v>12.468</v>
      </c>
      <c r="I110" s="61">
        <v>12.468</v>
      </c>
      <c r="J110" s="61">
        <v>12.468</v>
      </c>
      <c r="K110" s="86">
        <v>0</v>
      </c>
      <c r="L110" s="86">
        <v>0</v>
      </c>
      <c r="M110" s="61">
        <v>1.0389999999999999</v>
      </c>
      <c r="N110" s="61">
        <v>1.0389999999999999</v>
      </c>
      <c r="O110" s="61">
        <v>1.0390000000000001</v>
      </c>
      <c r="P110" s="61">
        <v>1.0389999999999997</v>
      </c>
      <c r="Q110" s="61">
        <v>1.0390000000000006</v>
      </c>
      <c r="R110" s="61">
        <v>1.0389999999999997</v>
      </c>
      <c r="S110" s="61">
        <v>1.0389999999999997</v>
      </c>
      <c r="T110" s="61">
        <v>1.0389999999999997</v>
      </c>
      <c r="U110" s="61">
        <v>1.0390000000000015</v>
      </c>
      <c r="V110" s="61">
        <v>1.0389999999999997</v>
      </c>
      <c r="W110" s="61">
        <v>1.0389999999999997</v>
      </c>
      <c r="X110" s="61">
        <v>1.0389999999999997</v>
      </c>
      <c r="Y110" s="61">
        <v>12.468</v>
      </c>
      <c r="AA110" s="61">
        <v>0</v>
      </c>
      <c r="AB110" s="60">
        <v>12.47</v>
      </c>
      <c r="AD110" s="61">
        <v>0</v>
      </c>
      <c r="AE110" s="60">
        <v>12.47</v>
      </c>
    </row>
    <row r="111" spans="1:31" ht="18" customHeight="1" x14ac:dyDescent="0.2">
      <c r="A111" s="30" t="s">
        <v>221</v>
      </c>
      <c r="B111" s="30" t="s">
        <v>18</v>
      </c>
      <c r="C111" s="4">
        <v>0.99813432835820892</v>
      </c>
      <c r="D111" s="4">
        <v>0</v>
      </c>
      <c r="F111" s="106" t="s">
        <v>379</v>
      </c>
      <c r="H111" s="61">
        <v>0.71699999999999997</v>
      </c>
      <c r="I111" s="61">
        <v>0.60399999999999998</v>
      </c>
      <c r="J111" s="61">
        <v>0.60399999999999998</v>
      </c>
      <c r="K111" s="86">
        <v>0</v>
      </c>
      <c r="L111" s="86">
        <v>1.07</v>
      </c>
      <c r="M111" s="61">
        <v>0</v>
      </c>
      <c r="N111" s="61">
        <v>0</v>
      </c>
      <c r="O111" s="61">
        <v>0</v>
      </c>
      <c r="P111" s="61">
        <v>0</v>
      </c>
      <c r="Q111" s="61">
        <v>0</v>
      </c>
      <c r="R111" s="61">
        <v>0.47299999999999998</v>
      </c>
      <c r="S111" s="61">
        <v>0</v>
      </c>
      <c r="T111" s="61">
        <v>0.59900000000000009</v>
      </c>
      <c r="U111" s="61">
        <v>0</v>
      </c>
      <c r="V111" s="61">
        <v>0</v>
      </c>
      <c r="W111" s="61">
        <v>0</v>
      </c>
      <c r="X111" s="61">
        <v>0</v>
      </c>
      <c r="Y111" s="61">
        <v>1.0720000000000001</v>
      </c>
      <c r="AA111" s="61">
        <v>0</v>
      </c>
      <c r="AB111" s="60">
        <v>1.07</v>
      </c>
      <c r="AD111" s="61">
        <v>1.07</v>
      </c>
      <c r="AE111" s="60">
        <v>0</v>
      </c>
    </row>
    <row r="112" spans="1:31" ht="18" customHeight="1" x14ac:dyDescent="0.2">
      <c r="A112" s="30" t="s">
        <v>430</v>
      </c>
      <c r="B112" s="30" t="s">
        <v>18</v>
      </c>
      <c r="C112" s="4">
        <v>0</v>
      </c>
      <c r="D112" s="4">
        <v>0</v>
      </c>
      <c r="F112" s="106" t="s">
        <v>431</v>
      </c>
      <c r="H112" s="61">
        <v>-0.69599999999999995</v>
      </c>
      <c r="I112" s="61">
        <v>0</v>
      </c>
      <c r="J112" s="61">
        <v>0</v>
      </c>
      <c r="K112" s="86">
        <v>0</v>
      </c>
      <c r="L112" s="86">
        <v>0</v>
      </c>
      <c r="M112" s="61">
        <v>0</v>
      </c>
      <c r="N112" s="61">
        <v>0</v>
      </c>
      <c r="O112" s="61">
        <v>0</v>
      </c>
      <c r="P112" s="61">
        <v>0</v>
      </c>
      <c r="Q112" s="61">
        <v>0</v>
      </c>
      <c r="R112" s="61">
        <v>0</v>
      </c>
      <c r="S112" s="61">
        <v>0</v>
      </c>
      <c r="T112" s="61">
        <v>0</v>
      </c>
      <c r="U112" s="61">
        <v>0</v>
      </c>
      <c r="V112" s="61">
        <v>0</v>
      </c>
      <c r="W112" s="61">
        <v>0</v>
      </c>
      <c r="X112" s="61">
        <v>0</v>
      </c>
      <c r="Y112" s="61">
        <v>0</v>
      </c>
      <c r="AA112" s="61">
        <v>0</v>
      </c>
      <c r="AB112" s="60">
        <v>0</v>
      </c>
      <c r="AD112" s="61">
        <v>0</v>
      </c>
      <c r="AE112" s="60">
        <v>0</v>
      </c>
    </row>
    <row r="113" spans="1:31" ht="18" customHeight="1" x14ac:dyDescent="0.2">
      <c r="A113" s="30" t="s">
        <v>35</v>
      </c>
      <c r="B113" s="30" t="s">
        <v>18</v>
      </c>
      <c r="C113" s="4">
        <v>-4.3</v>
      </c>
      <c r="D113" s="4">
        <v>3.6363636363636369E-2</v>
      </c>
      <c r="F113" s="106" t="s">
        <v>67</v>
      </c>
      <c r="H113" s="61">
        <v>0</v>
      </c>
      <c r="I113" s="61">
        <v>-3.7389999999999999</v>
      </c>
      <c r="J113" s="61">
        <v>-3.7389999999999999</v>
      </c>
      <c r="K113" s="86">
        <v>-1</v>
      </c>
      <c r="L113" s="86">
        <v>-5.5</v>
      </c>
      <c r="M113" s="61">
        <v>-0.40100000000000002</v>
      </c>
      <c r="N113" s="61">
        <v>-0.45199999999999996</v>
      </c>
      <c r="O113" s="61">
        <v>-0.55499999999999994</v>
      </c>
      <c r="P113" s="61">
        <v>-0.41400000000000015</v>
      </c>
      <c r="Q113" s="61">
        <v>-6.0000000000000053E-3</v>
      </c>
      <c r="R113" s="61">
        <v>-0.87200000000000011</v>
      </c>
      <c r="S113" s="61">
        <v>-0.4139999999999997</v>
      </c>
      <c r="T113" s="61">
        <v>-0.41500000000000004</v>
      </c>
      <c r="U113" s="61">
        <v>-0.33300000000000018</v>
      </c>
      <c r="V113" s="61">
        <v>-0.42999999999999972</v>
      </c>
      <c r="W113" s="61">
        <v>-0.37300000000000022</v>
      </c>
      <c r="X113" s="61">
        <v>-0.63199999999999967</v>
      </c>
      <c r="Y113" s="61">
        <v>-5.2969999999999997</v>
      </c>
      <c r="AA113" s="61">
        <v>-1</v>
      </c>
      <c r="AB113" s="60">
        <v>-4.3</v>
      </c>
      <c r="AD113" s="61">
        <v>-5.5</v>
      </c>
      <c r="AE113" s="60">
        <v>0.2</v>
      </c>
    </row>
    <row r="114" spans="1:31" ht="18" hidden="1" customHeight="1" outlineLevel="1" collapsed="1" x14ac:dyDescent="0.2">
      <c r="A114" s="35"/>
      <c r="B114" s="35"/>
      <c r="C114" s="4"/>
      <c r="D114" s="4"/>
      <c r="F114" s="97" t="s">
        <v>453</v>
      </c>
      <c r="H114" s="74">
        <v>0</v>
      </c>
      <c r="I114" s="74">
        <v>0</v>
      </c>
      <c r="J114" s="74">
        <v>0</v>
      </c>
      <c r="K114" s="112">
        <v>0</v>
      </c>
      <c r="L114" s="112">
        <v>0</v>
      </c>
      <c r="M114" s="74">
        <v>0</v>
      </c>
      <c r="N114" s="74">
        <v>0</v>
      </c>
      <c r="O114" s="74">
        <v>0</v>
      </c>
      <c r="P114" s="74">
        <v>0</v>
      </c>
      <c r="Q114" s="74">
        <v>0</v>
      </c>
      <c r="R114" s="74">
        <v>0</v>
      </c>
      <c r="S114" s="74">
        <v>0</v>
      </c>
      <c r="T114" s="74">
        <v>0</v>
      </c>
      <c r="U114" s="74">
        <v>0</v>
      </c>
      <c r="V114" s="74">
        <v>0</v>
      </c>
      <c r="W114" s="74">
        <v>0</v>
      </c>
      <c r="X114" s="74">
        <v>0</v>
      </c>
      <c r="Y114" s="74">
        <v>0</v>
      </c>
      <c r="AA114" s="74">
        <v>0</v>
      </c>
      <c r="AB114" s="73">
        <v>0</v>
      </c>
      <c r="AD114" s="74">
        <v>0</v>
      </c>
      <c r="AE114" s="73">
        <v>0</v>
      </c>
    </row>
    <row r="115" spans="1:31" ht="18" customHeight="1" collapsed="1" x14ac:dyDescent="0.2">
      <c r="A115" s="30" t="s">
        <v>20</v>
      </c>
      <c r="B115" s="30" t="s">
        <v>18</v>
      </c>
      <c r="C115" s="4">
        <v>0</v>
      </c>
      <c r="D115" s="4">
        <v>0</v>
      </c>
      <c r="F115" s="106" t="s">
        <v>68</v>
      </c>
      <c r="H115" s="61">
        <v>0</v>
      </c>
      <c r="I115" s="61">
        <v>0</v>
      </c>
      <c r="J115" s="61">
        <v>0</v>
      </c>
      <c r="K115" s="86">
        <v>0</v>
      </c>
      <c r="L115" s="86">
        <v>0</v>
      </c>
      <c r="M115" s="61">
        <v>0</v>
      </c>
      <c r="N115" s="61">
        <v>0</v>
      </c>
      <c r="O115" s="61">
        <v>0</v>
      </c>
      <c r="P115" s="61">
        <v>0</v>
      </c>
      <c r="Q115" s="61">
        <v>0</v>
      </c>
      <c r="R115" s="61">
        <v>0</v>
      </c>
      <c r="S115" s="61">
        <v>0</v>
      </c>
      <c r="T115" s="61">
        <v>0</v>
      </c>
      <c r="U115" s="61">
        <v>0</v>
      </c>
      <c r="V115" s="61">
        <v>0</v>
      </c>
      <c r="W115" s="61">
        <v>0</v>
      </c>
      <c r="X115" s="61">
        <v>0</v>
      </c>
      <c r="Y115" s="61">
        <v>0</v>
      </c>
      <c r="AA115" s="61">
        <v>0</v>
      </c>
      <c r="AB115" s="60">
        <v>0</v>
      </c>
      <c r="AD115" s="61">
        <v>0</v>
      </c>
      <c r="AE115" s="60">
        <v>0</v>
      </c>
    </row>
    <row r="116" spans="1:31" ht="18" customHeight="1" x14ac:dyDescent="0.2">
      <c r="A116" s="35"/>
      <c r="B116" s="35"/>
      <c r="C116" s="4">
        <v>2.7217126423640853E-2</v>
      </c>
      <c r="D116" s="4">
        <v>-1.980040186322312E-2</v>
      </c>
      <c r="F116" s="95" t="s">
        <v>275</v>
      </c>
      <c r="H116" s="198">
        <v>-1539.6169999999997</v>
      </c>
      <c r="I116" s="198">
        <v>-1529.2429999999999</v>
      </c>
      <c r="J116" s="198">
        <v>-1529.2429999999999</v>
      </c>
      <c r="K116" s="89">
        <v>-1579.8875800000001</v>
      </c>
      <c r="L116" s="89">
        <v>-1507.0401200000001</v>
      </c>
      <c r="M116" s="64">
        <v>-144.23600000000005</v>
      </c>
      <c r="N116" s="64">
        <v>-129.41199999999998</v>
      </c>
      <c r="O116" s="64">
        <v>-129.71100000000001</v>
      </c>
      <c r="P116" s="64">
        <v>-120.03</v>
      </c>
      <c r="Q116" s="64">
        <v>-104.76199999999999</v>
      </c>
      <c r="R116" s="64">
        <v>-137.39900000000003</v>
      </c>
      <c r="S116" s="64">
        <v>-116.014</v>
      </c>
      <c r="T116" s="64">
        <v>-101.21300000000002</v>
      </c>
      <c r="U116" s="64">
        <v>-127.14700000000002</v>
      </c>
      <c r="V116" s="64">
        <v>-132.27699999999987</v>
      </c>
      <c r="W116" s="64">
        <v>-142.02200000000016</v>
      </c>
      <c r="X116" s="64">
        <v>-152.66099999999997</v>
      </c>
      <c r="Y116" s="64">
        <v>-1536.884</v>
      </c>
      <c r="AA116" s="64">
        <v>-1579.8875799999998</v>
      </c>
      <c r="AB116" s="60">
        <v>43</v>
      </c>
      <c r="AD116" s="64">
        <v>-1507.0401200000003</v>
      </c>
      <c r="AE116" s="60">
        <v>-29.84</v>
      </c>
    </row>
    <row r="117" spans="1:31" ht="12.95" customHeight="1" x14ac:dyDescent="0.2">
      <c r="A117" s="35"/>
      <c r="B117" s="35"/>
      <c r="C117" s="4"/>
      <c r="D117" s="4"/>
      <c r="F117" s="39" t="s">
        <v>223</v>
      </c>
      <c r="H117" s="56">
        <v>0.24414462158318642</v>
      </c>
      <c r="I117" s="56">
        <v>0.22772336350399397</v>
      </c>
      <c r="J117" s="56">
        <v>0.22772336350399397</v>
      </c>
      <c r="K117" s="109">
        <v>0.24666384180041195</v>
      </c>
      <c r="L117" s="109">
        <v>0.23590262912507501</v>
      </c>
      <c r="M117" s="56">
        <v>0.27630676571892715</v>
      </c>
      <c r="N117" s="56">
        <v>0.22550948393785991</v>
      </c>
      <c r="O117" s="56">
        <v>0.24589623186977141</v>
      </c>
      <c r="P117" s="56">
        <v>0.18959090191123046</v>
      </c>
      <c r="Q117" s="56">
        <v>0.19467063086500042</v>
      </c>
      <c r="R117" s="56">
        <v>0.24584265240029354</v>
      </c>
      <c r="S117" s="56">
        <v>0.2264350541621937</v>
      </c>
      <c r="T117" s="56">
        <v>0.19129059205527832</v>
      </c>
      <c r="U117" s="56">
        <v>0.23291176804627953</v>
      </c>
      <c r="V117" s="56">
        <v>0.26178639424009309</v>
      </c>
      <c r="W117" s="56">
        <v>0.24370915929932513</v>
      </c>
      <c r="X117" s="56">
        <v>0.26085062102408718</v>
      </c>
      <c r="Y117" s="56">
        <v>0.2323626534038104</v>
      </c>
      <c r="AA117" s="56">
        <v>0.24666384180041193</v>
      </c>
      <c r="AB117" s="57"/>
      <c r="AD117" s="56">
        <v>0.23590262912507504</v>
      </c>
      <c r="AE117" s="57"/>
    </row>
    <row r="118" spans="1:31" ht="6.95" customHeight="1" x14ac:dyDescent="0.2">
      <c r="C118" s="4"/>
      <c r="D118" s="4"/>
      <c r="F118" s="99"/>
      <c r="H118" s="16"/>
      <c r="I118" s="16"/>
      <c r="J118" s="16"/>
      <c r="K118" s="85"/>
      <c r="L118" s="85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AA118" s="16"/>
      <c r="AB118" s="20"/>
      <c r="AD118" s="16"/>
      <c r="AE118" s="20"/>
    </row>
    <row r="119" spans="1:31" ht="18" customHeight="1" x14ac:dyDescent="0.2">
      <c r="A119" s="30" t="s">
        <v>70</v>
      </c>
      <c r="B119" s="30" t="s">
        <v>18</v>
      </c>
      <c r="C119" s="4"/>
      <c r="D119" s="4"/>
      <c r="F119" s="97" t="s">
        <v>225</v>
      </c>
      <c r="H119" s="74">
        <v>32.847000000000001</v>
      </c>
      <c r="I119" s="74">
        <v>34.618000000000002</v>
      </c>
      <c r="J119" s="74">
        <v>34.618000000000002</v>
      </c>
      <c r="K119" s="112">
        <v>32</v>
      </c>
      <c r="L119" s="112">
        <v>33</v>
      </c>
      <c r="M119" s="74">
        <v>30.263999999999996</v>
      </c>
      <c r="N119" s="74">
        <v>31.872</v>
      </c>
      <c r="O119" s="74">
        <v>32.040000000000006</v>
      </c>
      <c r="P119" s="74">
        <v>32.004000000000005</v>
      </c>
      <c r="Q119" s="74">
        <v>31.99199999999999</v>
      </c>
      <c r="R119" s="74">
        <v>32.004000000000019</v>
      </c>
      <c r="S119" s="74">
        <v>32.999999999999972</v>
      </c>
      <c r="T119" s="74">
        <v>33</v>
      </c>
      <c r="U119" s="74">
        <v>32.004000000000019</v>
      </c>
      <c r="V119" s="74">
        <v>34.151999999999987</v>
      </c>
      <c r="W119" s="74">
        <v>33.984000000000037</v>
      </c>
      <c r="X119" s="74">
        <v>35.003999999999962</v>
      </c>
      <c r="Y119" s="74">
        <v>32.61</v>
      </c>
      <c r="AA119" s="74">
        <v>32</v>
      </c>
      <c r="AB119" s="73">
        <v>0.61</v>
      </c>
      <c r="AD119" s="74">
        <v>33</v>
      </c>
      <c r="AE119" s="73">
        <v>-0.39</v>
      </c>
    </row>
    <row r="120" spans="1:31" ht="12.95" customHeight="1" x14ac:dyDescent="0.2">
      <c r="A120" s="35"/>
      <c r="B120" s="35"/>
      <c r="C120" s="4"/>
      <c r="D120" s="4"/>
      <c r="F120" s="39" t="s">
        <v>71</v>
      </c>
      <c r="H120" s="132">
        <v>-6039.1816604256101</v>
      </c>
      <c r="I120" s="132">
        <v>-5244.6415159743483</v>
      </c>
      <c r="J120" s="132">
        <v>-5244.6415159743483</v>
      </c>
      <c r="K120" s="133">
        <v>-5774.9999999999991</v>
      </c>
      <c r="L120" s="133">
        <v>-7000</v>
      </c>
      <c r="M120" s="132">
        <v>-664.98149616706326</v>
      </c>
      <c r="N120" s="132">
        <v>-567.08082329317256</v>
      </c>
      <c r="O120" s="132">
        <v>-736.76654182272159</v>
      </c>
      <c r="P120" s="132">
        <v>-757.62404699412559</v>
      </c>
      <c r="Q120" s="132">
        <v>-726.83795948987245</v>
      </c>
      <c r="R120" s="132">
        <v>-420.63492063492055</v>
      </c>
      <c r="S120" s="132">
        <v>-350.03030303030346</v>
      </c>
      <c r="T120" s="132">
        <v>-268.51515151515133</v>
      </c>
      <c r="U120" s="132">
        <v>-1129.4838145231838</v>
      </c>
      <c r="V120" s="132">
        <v>-390.22604825486076</v>
      </c>
      <c r="W120" s="132">
        <v>-806.67372881355845</v>
      </c>
      <c r="X120" s="132">
        <v>-543.90926751228483</v>
      </c>
      <c r="Y120" s="132">
        <v>-7332.3213738117147</v>
      </c>
      <c r="AA120" s="132">
        <v>-5774.9999999999991</v>
      </c>
      <c r="AB120" s="134">
        <v>-1557.32</v>
      </c>
      <c r="AD120" s="132">
        <v>-7000</v>
      </c>
      <c r="AE120" s="134">
        <v>-332.32</v>
      </c>
    </row>
    <row r="121" spans="1:31" ht="18" customHeight="1" x14ac:dyDescent="0.2">
      <c r="A121" s="30" t="s">
        <v>63</v>
      </c>
      <c r="B121" s="30" t="s">
        <v>18</v>
      </c>
      <c r="C121" s="4">
        <v>-0.23504604194072584</v>
      </c>
      <c r="D121" s="4">
        <v>6.0763888888888881E-2</v>
      </c>
      <c r="F121" s="106" t="s">
        <v>401</v>
      </c>
      <c r="H121" s="61">
        <v>-61.831000000000003</v>
      </c>
      <c r="I121" s="61">
        <v>-60.985999999999997</v>
      </c>
      <c r="J121" s="61">
        <v>-60.985999999999997</v>
      </c>
      <c r="K121" s="86">
        <v>-51.692</v>
      </c>
      <c r="L121" s="86">
        <v>-67.968000000000004</v>
      </c>
      <c r="M121" s="61">
        <v>-5.0439999999999996</v>
      </c>
      <c r="N121" s="61">
        <v>-3.1960000000000006</v>
      </c>
      <c r="O121" s="61">
        <v>-4.4559999999999995</v>
      </c>
      <c r="P121" s="61">
        <v>-7.0520000000000014</v>
      </c>
      <c r="Q121" s="61">
        <v>-5.5269999999999975</v>
      </c>
      <c r="R121" s="61">
        <v>-5.5259999999999998</v>
      </c>
      <c r="S121" s="61">
        <v>-5.5180000000000042</v>
      </c>
      <c r="T121" s="61">
        <v>-5.2650000000000006</v>
      </c>
      <c r="U121" s="61">
        <v>-5.8389999999999986</v>
      </c>
      <c r="V121" s="61">
        <v>-5.6769999999999996</v>
      </c>
      <c r="W121" s="61">
        <v>-5.7280000000000015</v>
      </c>
      <c r="X121" s="61">
        <v>-5.0129999999999981</v>
      </c>
      <c r="Y121" s="61">
        <v>-63.841000000000001</v>
      </c>
      <c r="AA121" s="61">
        <v>-51.692</v>
      </c>
      <c r="AB121" s="60">
        <v>-12.15</v>
      </c>
      <c r="AD121" s="61">
        <v>-67.968000000000004</v>
      </c>
      <c r="AE121" s="60">
        <v>4.13</v>
      </c>
    </row>
    <row r="122" spans="1:31" ht="18" customHeight="1" x14ac:dyDescent="0.2">
      <c r="A122" s="30" t="s">
        <v>148</v>
      </c>
      <c r="B122" s="30" t="s">
        <v>18</v>
      </c>
      <c r="C122" s="4">
        <v>-1.000386249517188</v>
      </c>
      <c r="D122" s="4">
        <v>-1.000386249517188</v>
      </c>
      <c r="F122" s="106" t="s">
        <v>149</v>
      </c>
      <c r="H122" s="61">
        <v>0</v>
      </c>
      <c r="I122" s="61">
        <v>-0.64200000000000002</v>
      </c>
      <c r="J122" s="61">
        <v>-0.64200000000000002</v>
      </c>
      <c r="K122" s="86">
        <v>0</v>
      </c>
      <c r="L122" s="86">
        <v>0</v>
      </c>
      <c r="M122" s="61">
        <v>0</v>
      </c>
      <c r="N122" s="61">
        <v>0</v>
      </c>
      <c r="O122" s="61">
        <v>0</v>
      </c>
      <c r="P122" s="61">
        <v>0</v>
      </c>
      <c r="Q122" s="61">
        <v>0</v>
      </c>
      <c r="R122" s="61">
        <v>0</v>
      </c>
      <c r="S122" s="61">
        <v>0</v>
      </c>
      <c r="T122" s="61">
        <v>0</v>
      </c>
      <c r="U122" s="61">
        <v>0</v>
      </c>
      <c r="V122" s="61">
        <v>0</v>
      </c>
      <c r="W122" s="61">
        <v>-1.4930000000000001</v>
      </c>
      <c r="X122" s="61">
        <v>-1.0959999999999999</v>
      </c>
      <c r="Y122" s="61">
        <v>-2.589</v>
      </c>
      <c r="AA122" s="61">
        <v>0</v>
      </c>
      <c r="AB122" s="60">
        <v>-2.59</v>
      </c>
      <c r="AD122" s="61">
        <v>0</v>
      </c>
      <c r="AE122" s="60">
        <v>-2.59</v>
      </c>
    </row>
    <row r="123" spans="1:31" ht="18" customHeight="1" x14ac:dyDescent="0.2">
      <c r="A123" s="30" t="s">
        <v>64</v>
      </c>
      <c r="B123" s="30" t="s">
        <v>18</v>
      </c>
      <c r="C123" s="4">
        <v>-0.24010875514203492</v>
      </c>
      <c r="D123" s="4">
        <v>-3.5070140280561116E-2</v>
      </c>
      <c r="F123" s="106" t="s">
        <v>202</v>
      </c>
      <c r="H123" s="61">
        <v>-56.926000000000002</v>
      </c>
      <c r="I123" s="61">
        <v>-74.963999999999999</v>
      </c>
      <c r="J123" s="61">
        <v>-74.963999999999999</v>
      </c>
      <c r="K123" s="86">
        <v>-56.640999999999998</v>
      </c>
      <c r="L123" s="86">
        <v>-67.864000000000004</v>
      </c>
      <c r="M123" s="61">
        <v>-6.3540000000000001</v>
      </c>
      <c r="N123" s="61">
        <v>-6.7499999999999991</v>
      </c>
      <c r="O123" s="61">
        <v>-5.0180000000000007</v>
      </c>
      <c r="P123" s="61">
        <v>-5.5150000000000006</v>
      </c>
      <c r="Q123" s="61">
        <v>-4.0399999999999991</v>
      </c>
      <c r="R123" s="61">
        <v>-5.9200000000000017</v>
      </c>
      <c r="S123" s="61">
        <v>-6.6129999999999995</v>
      </c>
      <c r="T123" s="61">
        <v>-3.6479999999999961</v>
      </c>
      <c r="U123" s="61">
        <v>-6.169000000000004</v>
      </c>
      <c r="V123" s="61">
        <v>-5.9889999999999972</v>
      </c>
      <c r="W123" s="61">
        <v>-7.8010000000000019</v>
      </c>
      <c r="X123" s="61">
        <v>-6.4259999999999948</v>
      </c>
      <c r="Y123" s="61">
        <v>-70.242999999999995</v>
      </c>
      <c r="AA123" s="61">
        <v>-56.640999999999998</v>
      </c>
      <c r="AB123" s="60">
        <v>-13.6</v>
      </c>
      <c r="AD123" s="61">
        <v>-67.864000000000004</v>
      </c>
      <c r="AE123" s="60">
        <v>-2.38</v>
      </c>
    </row>
    <row r="124" spans="1:31" ht="18" hidden="1" customHeight="1" outlineLevel="1" x14ac:dyDescent="0.2">
      <c r="A124" s="30" t="s">
        <v>150</v>
      </c>
      <c r="B124" s="30" t="s">
        <v>18</v>
      </c>
      <c r="C124" s="4">
        <v>-10.241090146750523</v>
      </c>
      <c r="D124" s="4">
        <v>-0.44953977646285337</v>
      </c>
      <c r="F124" s="38" t="s">
        <v>151</v>
      </c>
      <c r="G124" s="34"/>
      <c r="H124" s="66">
        <v>-11.23</v>
      </c>
      <c r="I124" s="66">
        <v>-8.0280000000000005</v>
      </c>
      <c r="J124" s="66">
        <v>-8.0280000000000005</v>
      </c>
      <c r="K124" s="86">
        <v>1.9079999999999999</v>
      </c>
      <c r="L124" s="86">
        <v>-12.167999999999999</v>
      </c>
      <c r="M124" s="66">
        <v>-1.6519999999999999</v>
      </c>
      <c r="N124" s="66">
        <v>-0.53700000000000014</v>
      </c>
      <c r="O124" s="66">
        <v>-1.004</v>
      </c>
      <c r="P124" s="66">
        <v>-3.2979999999999996</v>
      </c>
      <c r="Q124" s="66">
        <v>-0.93100000000000005</v>
      </c>
      <c r="R124" s="66">
        <v>-0.50300000000000011</v>
      </c>
      <c r="S124" s="66">
        <v>-0.37900000000000045</v>
      </c>
      <c r="T124" s="66">
        <v>-0.2289999999999992</v>
      </c>
      <c r="U124" s="66">
        <v>-0.84700000000000131</v>
      </c>
      <c r="V124" s="66">
        <v>-0.31099999999999994</v>
      </c>
      <c r="W124" s="66">
        <v>-4.9409999999999989</v>
      </c>
      <c r="X124" s="66">
        <v>-3.0030000000000019</v>
      </c>
      <c r="Y124" s="66">
        <v>-17.635000000000002</v>
      </c>
      <c r="Z124" s="34"/>
      <c r="AA124" s="66">
        <v>1.9080000000000001</v>
      </c>
      <c r="AB124" s="60">
        <v>-19.54</v>
      </c>
      <c r="AC124" s="34"/>
      <c r="AD124" s="66">
        <v>-12.167999999999999</v>
      </c>
      <c r="AE124" s="60">
        <v>-5.47</v>
      </c>
    </row>
    <row r="125" spans="1:31" ht="18" hidden="1" customHeight="1" outlineLevel="1" x14ac:dyDescent="0.2">
      <c r="A125" s="30" t="s">
        <v>168</v>
      </c>
      <c r="B125" s="30" t="s">
        <v>18</v>
      </c>
      <c r="C125" s="4">
        <v>0.33418295100538092</v>
      </c>
      <c r="D125" s="4">
        <v>0.31333444592790388</v>
      </c>
      <c r="F125" s="38" t="s">
        <v>169</v>
      </c>
      <c r="G125" s="34"/>
      <c r="H125" s="66">
        <v>-16.196999999999999</v>
      </c>
      <c r="I125" s="66">
        <v>-16.126999999999999</v>
      </c>
      <c r="J125" s="66">
        <v>-16.126999999999999</v>
      </c>
      <c r="K125" s="86">
        <v>-24.716999999999999</v>
      </c>
      <c r="L125" s="86">
        <v>-23.968</v>
      </c>
      <c r="M125" s="66">
        <v>-1.159</v>
      </c>
      <c r="N125" s="66">
        <v>-1.2969999999999999</v>
      </c>
      <c r="O125" s="66">
        <v>-1.1829999999999998</v>
      </c>
      <c r="P125" s="66">
        <v>-1.3649999999999998</v>
      </c>
      <c r="Q125" s="66">
        <v>-1.5520000000000005</v>
      </c>
      <c r="R125" s="66">
        <v>-1.3419999999999996</v>
      </c>
      <c r="S125" s="66">
        <v>-1.3819999999999997</v>
      </c>
      <c r="T125" s="66">
        <v>-1.2780000000000005</v>
      </c>
      <c r="U125" s="66">
        <v>-1.3919999999999995</v>
      </c>
      <c r="V125" s="66">
        <v>-1.3690000000000015</v>
      </c>
      <c r="W125" s="66">
        <v>-1.4139999999999997</v>
      </c>
      <c r="X125" s="66">
        <v>-1.7210000000000001</v>
      </c>
      <c r="Y125" s="66">
        <v>-16.454000000000001</v>
      </c>
      <c r="Z125" s="34"/>
      <c r="AA125" s="66">
        <v>-24.716999999999999</v>
      </c>
      <c r="AB125" s="60">
        <v>8.26</v>
      </c>
      <c r="AC125" s="34"/>
      <c r="AD125" s="66">
        <v>-23.968</v>
      </c>
      <c r="AE125" s="60">
        <v>7.51</v>
      </c>
    </row>
    <row r="126" spans="1:31" ht="18" hidden="1" customHeight="1" outlineLevel="1" x14ac:dyDescent="0.2">
      <c r="A126" s="30" t="s">
        <v>170</v>
      </c>
      <c r="B126" s="30" t="s">
        <v>18</v>
      </c>
      <c r="C126" s="4">
        <v>-0.3546831955922865</v>
      </c>
      <c r="D126" s="4">
        <v>-0.18546441495778043</v>
      </c>
      <c r="F126" s="38" t="s">
        <v>171</v>
      </c>
      <c r="G126" s="34"/>
      <c r="H126" s="66">
        <v>-3.5510000000000002</v>
      </c>
      <c r="I126" s="66">
        <v>-3.5609999999999999</v>
      </c>
      <c r="J126" s="66">
        <v>-3.5609999999999999</v>
      </c>
      <c r="K126" s="86">
        <v>-5.8079999999999998</v>
      </c>
      <c r="L126" s="86">
        <v>-6.6319999999999997</v>
      </c>
      <c r="M126" s="66">
        <v>-2.5030000000000001</v>
      </c>
      <c r="N126" s="66">
        <v>-0.63499999999999979</v>
      </c>
      <c r="O126" s="66">
        <v>-0.98200000000000021</v>
      </c>
      <c r="P126" s="66">
        <v>-0.33499999999999996</v>
      </c>
      <c r="Q126" s="66">
        <v>-0.72799999999999976</v>
      </c>
      <c r="R126" s="66">
        <v>-0.51200000000000045</v>
      </c>
      <c r="S126" s="66">
        <v>-0.28699999999999992</v>
      </c>
      <c r="T126" s="66">
        <v>0</v>
      </c>
      <c r="U126" s="66">
        <v>-0.27799999999999958</v>
      </c>
      <c r="V126" s="66">
        <v>-0.91600000000000037</v>
      </c>
      <c r="W126" s="66">
        <v>-0.5129999999999999</v>
      </c>
      <c r="X126" s="66">
        <v>-0.17499999999999982</v>
      </c>
      <c r="Y126" s="66">
        <v>-7.8639999999999999</v>
      </c>
      <c r="Z126" s="34"/>
      <c r="AA126" s="66">
        <v>-5.8079999999999998</v>
      </c>
      <c r="AB126" s="60">
        <v>-2.06</v>
      </c>
      <c r="AC126" s="34"/>
      <c r="AD126" s="66">
        <v>-6.6320000000000006</v>
      </c>
      <c r="AE126" s="60">
        <v>-1.23</v>
      </c>
    </row>
    <row r="127" spans="1:31" ht="18" customHeight="1" collapsed="1" x14ac:dyDescent="0.2">
      <c r="A127" s="35"/>
      <c r="B127" s="35"/>
      <c r="C127" s="4">
        <v>-0.46615648041374008</v>
      </c>
      <c r="D127" s="4">
        <v>1.8939393939393943E-2</v>
      </c>
      <c r="F127" s="106" t="s">
        <v>151</v>
      </c>
      <c r="H127" s="61">
        <v>-30.978000000000002</v>
      </c>
      <c r="I127" s="61">
        <v>-27.716000000000001</v>
      </c>
      <c r="J127" s="61">
        <v>-27.716000000000001</v>
      </c>
      <c r="K127" s="86">
        <v>-28.616999999999997</v>
      </c>
      <c r="L127" s="86">
        <v>-42.767999999999994</v>
      </c>
      <c r="M127" s="61">
        <v>-5.3140000000000001</v>
      </c>
      <c r="N127" s="61">
        <v>-2.4689999999999999</v>
      </c>
      <c r="O127" s="61">
        <v>-3.169</v>
      </c>
      <c r="P127" s="61">
        <v>-4.9979999999999993</v>
      </c>
      <c r="Q127" s="61">
        <v>-3.2110000000000003</v>
      </c>
      <c r="R127" s="61">
        <v>-2.3570000000000002</v>
      </c>
      <c r="S127" s="61">
        <v>-2.048</v>
      </c>
      <c r="T127" s="61">
        <v>-1.5069999999999997</v>
      </c>
      <c r="U127" s="61">
        <v>-2.5170000000000003</v>
      </c>
      <c r="V127" s="61">
        <v>-2.5960000000000019</v>
      </c>
      <c r="W127" s="61">
        <v>-6.8679999999999986</v>
      </c>
      <c r="X127" s="61">
        <v>-4.8990000000000018</v>
      </c>
      <c r="Y127" s="61">
        <v>-41.952999999999996</v>
      </c>
      <c r="AA127" s="61">
        <v>-28.617000000000001</v>
      </c>
      <c r="AB127" s="60">
        <v>-13.34</v>
      </c>
      <c r="AD127" s="61">
        <v>-42.767999999999994</v>
      </c>
      <c r="AE127" s="60">
        <v>0.81</v>
      </c>
    </row>
    <row r="128" spans="1:31" ht="18" customHeight="1" collapsed="1" x14ac:dyDescent="0.2">
      <c r="A128" s="30" t="s">
        <v>146</v>
      </c>
      <c r="B128" s="30" t="s">
        <v>18</v>
      </c>
      <c r="C128" s="4">
        <v>0.2605628733894767</v>
      </c>
      <c r="D128" s="4">
        <v>1.9098548510313219E-2</v>
      </c>
      <c r="F128" s="106" t="s">
        <v>147</v>
      </c>
      <c r="H128" s="61">
        <v>-10.340999999999999</v>
      </c>
      <c r="I128" s="61">
        <v>-7.1070000000000002</v>
      </c>
      <c r="J128" s="61">
        <v>-7.1070000000000002</v>
      </c>
      <c r="K128" s="86">
        <v>-13.893000000000001</v>
      </c>
      <c r="L128" s="86">
        <v>-10.472</v>
      </c>
      <c r="M128" s="61">
        <v>-0.46800000000000003</v>
      </c>
      <c r="N128" s="61">
        <v>-0.46999999999999992</v>
      </c>
      <c r="O128" s="61">
        <v>-0.46799999999999997</v>
      </c>
      <c r="P128" s="61">
        <v>-0.46800000000000019</v>
      </c>
      <c r="Q128" s="61">
        <v>-2.4709999999999996</v>
      </c>
      <c r="R128" s="61">
        <v>-0.22700000000000031</v>
      </c>
      <c r="S128" s="61">
        <v>-0.42799999999999994</v>
      </c>
      <c r="T128" s="61">
        <v>-0.42799999999999994</v>
      </c>
      <c r="U128" s="61">
        <v>-2.4290000000000003</v>
      </c>
      <c r="V128" s="61">
        <v>-1.0959999999999992</v>
      </c>
      <c r="W128" s="61">
        <v>-1.8500000000000014</v>
      </c>
      <c r="X128" s="61">
        <v>0.53200000000000003</v>
      </c>
      <c r="Y128" s="61">
        <v>-10.271000000000001</v>
      </c>
      <c r="AA128" s="61">
        <v>-13.893000000000001</v>
      </c>
      <c r="AB128" s="60">
        <v>3.62</v>
      </c>
      <c r="AD128" s="61">
        <v>-10.472</v>
      </c>
      <c r="AE128" s="60">
        <v>0.2</v>
      </c>
    </row>
    <row r="129" spans="1:31" ht="18" hidden="1" customHeight="1" outlineLevel="1" x14ac:dyDescent="0.2">
      <c r="A129" s="30" t="s">
        <v>154</v>
      </c>
      <c r="B129" s="30" t="s">
        <v>18</v>
      </c>
      <c r="C129" s="4">
        <v>-0.29129564437081518</v>
      </c>
      <c r="D129" s="4">
        <v>-0.16512961116650052</v>
      </c>
      <c r="F129" s="38" t="s">
        <v>155</v>
      </c>
      <c r="G129" s="34"/>
      <c r="H129" s="66">
        <v>-13.977</v>
      </c>
      <c r="I129" s="66">
        <v>4</v>
      </c>
      <c r="J129" s="66">
        <v>4</v>
      </c>
      <c r="K129" s="86">
        <v>-14.487</v>
      </c>
      <c r="L129" s="86">
        <v>-16.047999999999998</v>
      </c>
      <c r="M129" s="66">
        <v>4</v>
      </c>
      <c r="N129" s="66">
        <v>-2.1459999999999999</v>
      </c>
      <c r="O129" s="66">
        <v>-0.57200000000000006</v>
      </c>
      <c r="P129" s="66">
        <v>1.6280000000000001</v>
      </c>
      <c r="Q129" s="66">
        <v>-2</v>
      </c>
      <c r="R129" s="66">
        <v>2.802</v>
      </c>
      <c r="S129" s="66">
        <v>-0.15500000000000025</v>
      </c>
      <c r="T129" s="66">
        <v>0</v>
      </c>
      <c r="U129" s="66">
        <v>-19.166999999999998</v>
      </c>
      <c r="V129" s="66">
        <v>-1.7763568394002505E-15</v>
      </c>
      <c r="W129" s="66">
        <v>-2</v>
      </c>
      <c r="X129" s="66">
        <v>-1.0920000000000023</v>
      </c>
      <c r="Y129" s="66">
        <v>-18.702000000000002</v>
      </c>
      <c r="Z129" s="34"/>
      <c r="AA129" s="66">
        <v>-14.487</v>
      </c>
      <c r="AB129" s="60">
        <v>-4.22</v>
      </c>
      <c r="AC129" s="34"/>
      <c r="AD129" s="66">
        <v>-16.047999999999998</v>
      </c>
      <c r="AE129" s="60">
        <v>-2.65</v>
      </c>
    </row>
    <row r="130" spans="1:31" ht="18" hidden="1" customHeight="1" outlineLevel="1" x14ac:dyDescent="0.2">
      <c r="A130" s="30" t="s">
        <v>156</v>
      </c>
      <c r="B130" s="30" t="s">
        <v>18</v>
      </c>
      <c r="C130" s="4">
        <v>-1.4774916798038187</v>
      </c>
      <c r="D130" s="4">
        <v>-8.5148818656029468E-2</v>
      </c>
      <c r="F130" s="38" t="s">
        <v>157</v>
      </c>
      <c r="G130" s="34"/>
      <c r="H130" s="66">
        <v>-22.966999999999999</v>
      </c>
      <c r="I130" s="66">
        <v>-11.689</v>
      </c>
      <c r="J130" s="66">
        <v>-11.689</v>
      </c>
      <c r="K130" s="86">
        <v>-11.417999999999999</v>
      </c>
      <c r="L130" s="86">
        <v>-26.071999999999999</v>
      </c>
      <c r="M130" s="66">
        <v>-6.944</v>
      </c>
      <c r="N130" s="66">
        <v>-2.4029999999999996</v>
      </c>
      <c r="O130" s="66">
        <v>-9.7910000000000021</v>
      </c>
      <c r="P130" s="66">
        <v>-7.2579999999999991</v>
      </c>
      <c r="Q130" s="66">
        <v>-5.134999999999998</v>
      </c>
      <c r="R130" s="66">
        <v>-2.2000000000000028</v>
      </c>
      <c r="S130" s="66">
        <v>3.3000000000000007</v>
      </c>
      <c r="T130" s="66">
        <v>2.5440000000000005</v>
      </c>
      <c r="U130" s="66">
        <v>0</v>
      </c>
      <c r="V130" s="66">
        <v>1.7379999999999995</v>
      </c>
      <c r="W130" s="66">
        <v>-1.0999999999999979</v>
      </c>
      <c r="X130" s="66">
        <v>-1.0430000000000028</v>
      </c>
      <c r="Y130" s="66">
        <v>-28.292000000000002</v>
      </c>
      <c r="Z130" s="34"/>
      <c r="AA130" s="66">
        <v>-11.417999999999999</v>
      </c>
      <c r="AB130" s="60">
        <v>-16.87</v>
      </c>
      <c r="AC130" s="34"/>
      <c r="AD130" s="66">
        <v>-26.071999999999999</v>
      </c>
      <c r="AE130" s="60">
        <v>-2.2200000000000002</v>
      </c>
    </row>
    <row r="131" spans="1:31" ht="18" hidden="1" customHeight="1" outlineLevel="1" x14ac:dyDescent="0.2">
      <c r="A131" s="30" t="s">
        <v>160</v>
      </c>
      <c r="B131" s="30" t="s">
        <v>18</v>
      </c>
      <c r="C131" s="4">
        <v>0</v>
      </c>
      <c r="D131" s="4">
        <v>0</v>
      </c>
      <c r="F131" s="38" t="s">
        <v>161</v>
      </c>
      <c r="G131" s="34"/>
      <c r="H131" s="66">
        <v>1.2390000000000001</v>
      </c>
      <c r="I131" s="66">
        <v>0</v>
      </c>
      <c r="J131" s="66">
        <v>0</v>
      </c>
      <c r="K131" s="86">
        <v>0</v>
      </c>
      <c r="L131" s="8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34"/>
      <c r="AA131" s="66">
        <v>0</v>
      </c>
      <c r="AB131" s="60">
        <v>0</v>
      </c>
      <c r="AC131" s="34"/>
      <c r="AD131" s="66">
        <v>0</v>
      </c>
      <c r="AE131" s="60">
        <v>0</v>
      </c>
    </row>
    <row r="132" spans="1:31" ht="18" customHeight="1" collapsed="1" x14ac:dyDescent="0.2">
      <c r="A132" s="35"/>
      <c r="B132" s="35"/>
      <c r="C132" s="4">
        <v>-0.81412854661262302</v>
      </c>
      <c r="D132" s="4">
        <v>-0.11562203228869897</v>
      </c>
      <c r="F132" s="106" t="s">
        <v>378</v>
      </c>
      <c r="H132" s="61">
        <v>-35.705000000000005</v>
      </c>
      <c r="I132" s="61">
        <v>-7.6890000000000001</v>
      </c>
      <c r="J132" s="61">
        <v>-7.6890000000000001</v>
      </c>
      <c r="K132" s="86">
        <v>-25.905000000000001</v>
      </c>
      <c r="L132" s="86">
        <v>-42.12</v>
      </c>
      <c r="M132" s="61">
        <v>-2.944</v>
      </c>
      <c r="N132" s="61">
        <v>-4.5489999999999995</v>
      </c>
      <c r="O132" s="61">
        <v>-10.363000000000003</v>
      </c>
      <c r="P132" s="61">
        <v>-5.629999999999999</v>
      </c>
      <c r="Q132" s="61">
        <v>-7.134999999999998</v>
      </c>
      <c r="R132" s="61">
        <v>0.6019999999999972</v>
      </c>
      <c r="S132" s="61">
        <v>3.1450000000000005</v>
      </c>
      <c r="T132" s="61">
        <v>2.5440000000000005</v>
      </c>
      <c r="U132" s="61">
        <v>-19.166999999999998</v>
      </c>
      <c r="V132" s="61">
        <v>1.7379999999999978</v>
      </c>
      <c r="W132" s="61">
        <v>-3.0999999999999979</v>
      </c>
      <c r="X132" s="61">
        <v>-2.1350000000000051</v>
      </c>
      <c r="Y132" s="61">
        <v>-46.994</v>
      </c>
      <c r="AA132" s="61">
        <v>-25.905000000000001</v>
      </c>
      <c r="AB132" s="60">
        <v>-21.09</v>
      </c>
      <c r="AD132" s="61">
        <v>-42.12</v>
      </c>
      <c r="AE132" s="60">
        <v>-4.87</v>
      </c>
    </row>
    <row r="133" spans="1:31" ht="18" hidden="1" customHeight="1" outlineLevel="1" x14ac:dyDescent="0.2">
      <c r="A133" s="30" t="s">
        <v>158</v>
      </c>
      <c r="B133" s="30" t="s">
        <v>18</v>
      </c>
      <c r="C133" s="4">
        <v>0.98112270243417798</v>
      </c>
      <c r="D133" s="4">
        <v>-1.7708333333333428</v>
      </c>
      <c r="F133" s="38" t="s">
        <v>159</v>
      </c>
      <c r="G133" s="34"/>
      <c r="H133" s="66">
        <v>-0.25</v>
      </c>
      <c r="I133" s="66">
        <v>-0.13200000000000001</v>
      </c>
      <c r="J133" s="66">
        <v>-0.13200000000000001</v>
      </c>
      <c r="K133" s="86">
        <v>-8.0519999999999996</v>
      </c>
      <c r="L133" s="86">
        <v>0.191999999999999</v>
      </c>
      <c r="M133" s="66">
        <v>-1E-3</v>
      </c>
      <c r="N133" s="66">
        <v>-3.4999999999999996E-2</v>
      </c>
      <c r="O133" s="66">
        <v>-3.2000000000000008E-2</v>
      </c>
      <c r="P133" s="66">
        <v>-2.5999999999999995E-2</v>
      </c>
      <c r="Q133" s="66">
        <v>1.8000000000000002E-2</v>
      </c>
      <c r="R133" s="66">
        <v>0</v>
      </c>
      <c r="S133" s="66">
        <v>-1.9000000000000003E-2</v>
      </c>
      <c r="T133" s="66">
        <v>-3.7000000000000005E-2</v>
      </c>
      <c r="U133" s="66">
        <v>-2.6999999999999996E-2</v>
      </c>
      <c r="V133" s="66">
        <v>1.4000000000000012E-2</v>
      </c>
      <c r="W133" s="66">
        <v>-3.0000000000000027E-3</v>
      </c>
      <c r="X133" s="66">
        <v>-2.0000000000000018E-3</v>
      </c>
      <c r="Y133" s="66">
        <v>-0.15</v>
      </c>
      <c r="Z133" s="34"/>
      <c r="AA133" s="66">
        <v>-8.0519999999999996</v>
      </c>
      <c r="AB133" s="60">
        <v>7.9</v>
      </c>
      <c r="AC133" s="34"/>
      <c r="AD133" s="66">
        <v>0.19199999999999898</v>
      </c>
      <c r="AE133" s="60">
        <v>-0.34</v>
      </c>
    </row>
    <row r="134" spans="1:31" ht="18" hidden="1" customHeight="1" outlineLevel="1" x14ac:dyDescent="0.2">
      <c r="A134" s="30" t="s">
        <v>152</v>
      </c>
      <c r="B134" s="30" t="s">
        <v>18</v>
      </c>
      <c r="C134" s="4">
        <v>-1.0037641154328734</v>
      </c>
      <c r="D134" s="4">
        <v>-1.0037641154328734</v>
      </c>
      <c r="F134" s="38" t="s">
        <v>153</v>
      </c>
      <c r="G134" s="34"/>
      <c r="H134" s="66">
        <v>-0.216</v>
      </c>
      <c r="I134" s="66">
        <v>-3.5000000000000003E-2</v>
      </c>
      <c r="J134" s="66">
        <v>-3.5000000000000003E-2</v>
      </c>
      <c r="K134" s="86">
        <v>0</v>
      </c>
      <c r="L134" s="86">
        <v>0</v>
      </c>
      <c r="M134" s="66">
        <v>0</v>
      </c>
      <c r="N134" s="66">
        <v>0</v>
      </c>
      <c r="O134" s="66">
        <v>-0.1</v>
      </c>
      <c r="P134" s="66">
        <v>-0.55800000000000005</v>
      </c>
      <c r="Q134" s="66">
        <v>-0.31399999999999995</v>
      </c>
      <c r="R134" s="66">
        <v>-3.400000000000003E-2</v>
      </c>
      <c r="S134" s="66">
        <v>-7.0000000000000062E-2</v>
      </c>
      <c r="T134" s="66">
        <v>0</v>
      </c>
      <c r="U134" s="66">
        <v>0</v>
      </c>
      <c r="V134" s="66">
        <v>0.27900000000000003</v>
      </c>
      <c r="W134" s="66">
        <v>0</v>
      </c>
      <c r="X134" s="66">
        <v>0</v>
      </c>
      <c r="Y134" s="66">
        <v>-0.79700000000000004</v>
      </c>
      <c r="Z134" s="34"/>
      <c r="AA134" s="66">
        <v>0</v>
      </c>
      <c r="AB134" s="60">
        <v>-0.8</v>
      </c>
      <c r="AC134" s="34"/>
      <c r="AD134" s="66">
        <v>0</v>
      </c>
      <c r="AE134" s="60">
        <v>-0.8</v>
      </c>
    </row>
    <row r="135" spans="1:31" ht="18" hidden="1" customHeight="1" outlineLevel="1" x14ac:dyDescent="0.2">
      <c r="A135" s="30" t="s">
        <v>269</v>
      </c>
      <c r="B135" s="30" t="s">
        <v>18</v>
      </c>
      <c r="C135" s="4">
        <v>0</v>
      </c>
      <c r="D135" s="4">
        <v>0</v>
      </c>
      <c r="F135" s="38" t="s">
        <v>271</v>
      </c>
      <c r="G135" s="34"/>
      <c r="H135" s="66">
        <v>0</v>
      </c>
      <c r="I135" s="66">
        <v>0</v>
      </c>
      <c r="J135" s="66">
        <v>0</v>
      </c>
      <c r="K135" s="86">
        <v>0</v>
      </c>
      <c r="L135" s="8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34"/>
      <c r="AA135" s="66">
        <v>0</v>
      </c>
      <c r="AB135" s="60">
        <v>0</v>
      </c>
      <c r="AC135" s="34"/>
      <c r="AD135" s="66">
        <v>0</v>
      </c>
      <c r="AE135" s="60">
        <v>0</v>
      </c>
    </row>
    <row r="136" spans="1:31" ht="18" hidden="1" customHeight="1" outlineLevel="1" x14ac:dyDescent="0.2">
      <c r="A136" s="30" t="s">
        <v>270</v>
      </c>
      <c r="B136" s="30" t="s">
        <v>18</v>
      </c>
      <c r="C136" s="4">
        <v>0</v>
      </c>
      <c r="D136" s="4">
        <v>0</v>
      </c>
      <c r="F136" s="38" t="s">
        <v>272</v>
      </c>
      <c r="G136" s="34"/>
      <c r="H136" s="66">
        <v>0</v>
      </c>
      <c r="I136" s="66">
        <v>0</v>
      </c>
      <c r="J136" s="66">
        <v>0</v>
      </c>
      <c r="K136" s="86">
        <v>0</v>
      </c>
      <c r="L136" s="8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34"/>
      <c r="AA136" s="66">
        <v>0</v>
      </c>
      <c r="AB136" s="60">
        <v>0</v>
      </c>
      <c r="AC136" s="34"/>
      <c r="AD136" s="66">
        <v>0</v>
      </c>
      <c r="AE136" s="60">
        <v>0</v>
      </c>
    </row>
    <row r="137" spans="1:31" ht="18" hidden="1" customHeight="1" outlineLevel="1" x14ac:dyDescent="0.2">
      <c r="A137" s="30" t="s">
        <v>162</v>
      </c>
      <c r="B137" s="30" t="s">
        <v>18</v>
      </c>
      <c r="C137" s="4">
        <v>0</v>
      </c>
      <c r="D137" s="4">
        <v>0</v>
      </c>
      <c r="F137" s="38" t="s">
        <v>163</v>
      </c>
      <c r="G137" s="34"/>
      <c r="H137" s="66">
        <v>0</v>
      </c>
      <c r="I137" s="66">
        <v>0</v>
      </c>
      <c r="J137" s="66">
        <v>0</v>
      </c>
      <c r="K137" s="86">
        <v>0</v>
      </c>
      <c r="L137" s="8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34"/>
      <c r="AA137" s="66">
        <v>0</v>
      </c>
      <c r="AB137" s="60">
        <v>0</v>
      </c>
      <c r="AC137" s="34"/>
      <c r="AD137" s="66">
        <v>0</v>
      </c>
      <c r="AE137" s="60">
        <v>0</v>
      </c>
    </row>
    <row r="138" spans="1:31" ht="18" hidden="1" customHeight="1" outlineLevel="1" x14ac:dyDescent="0.2">
      <c r="A138" s="30" t="s">
        <v>164</v>
      </c>
      <c r="B138" s="30" t="s">
        <v>18</v>
      </c>
      <c r="C138" s="4">
        <v>0</v>
      </c>
      <c r="D138" s="4">
        <v>0</v>
      </c>
      <c r="F138" s="38" t="s">
        <v>165</v>
      </c>
      <c r="G138" s="34"/>
      <c r="H138" s="66">
        <v>0</v>
      </c>
      <c r="I138" s="66">
        <v>0</v>
      </c>
      <c r="J138" s="66">
        <v>0</v>
      </c>
      <c r="K138" s="86">
        <v>0</v>
      </c>
      <c r="L138" s="8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34"/>
      <c r="AA138" s="66">
        <v>0</v>
      </c>
      <c r="AB138" s="60">
        <v>0</v>
      </c>
      <c r="AC138" s="34"/>
      <c r="AD138" s="66">
        <v>0</v>
      </c>
      <c r="AE138" s="60">
        <v>0</v>
      </c>
    </row>
    <row r="139" spans="1:31" ht="18" hidden="1" customHeight="1" outlineLevel="1" x14ac:dyDescent="0.2">
      <c r="A139" s="30" t="s">
        <v>166</v>
      </c>
      <c r="B139" s="30" t="s">
        <v>18</v>
      </c>
      <c r="C139" s="4">
        <v>0</v>
      </c>
      <c r="D139" s="4">
        <v>0</v>
      </c>
      <c r="F139" s="38" t="s">
        <v>167</v>
      </c>
      <c r="G139" s="34"/>
      <c r="H139" s="66">
        <v>0</v>
      </c>
      <c r="I139" s="66">
        <v>0</v>
      </c>
      <c r="J139" s="66">
        <v>0</v>
      </c>
      <c r="K139" s="86">
        <v>0</v>
      </c>
      <c r="L139" s="8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34"/>
      <c r="AA139" s="66">
        <v>0</v>
      </c>
      <c r="AB139" s="60">
        <v>0</v>
      </c>
      <c r="AC139" s="34"/>
      <c r="AD139" s="66">
        <v>0</v>
      </c>
      <c r="AE139" s="60">
        <v>0</v>
      </c>
    </row>
    <row r="140" spans="1:31" ht="18" customHeight="1" collapsed="1" x14ac:dyDescent="0.2">
      <c r="A140" s="30" t="s">
        <v>408</v>
      </c>
      <c r="B140" s="30" t="s">
        <v>18</v>
      </c>
      <c r="C140" s="4"/>
      <c r="D140" s="4"/>
      <c r="F140" s="106" t="s">
        <v>409</v>
      </c>
      <c r="G140" s="34"/>
      <c r="H140" s="61">
        <v>-2.1219999999999999</v>
      </c>
      <c r="I140" s="61">
        <v>-2.2879999999999998</v>
      </c>
      <c r="J140" s="61">
        <v>-2.2879999999999998</v>
      </c>
      <c r="K140" s="86">
        <v>0</v>
      </c>
      <c r="L140" s="86">
        <v>0</v>
      </c>
      <c r="M140" s="61">
        <v>0</v>
      </c>
      <c r="N140" s="197">
        <v>-0.60499999999999998</v>
      </c>
      <c r="O140" s="61">
        <v>0</v>
      </c>
      <c r="P140" s="61">
        <v>0</v>
      </c>
      <c r="Q140" s="61">
        <v>-0.57299999999999995</v>
      </c>
      <c r="R140" s="61">
        <v>0</v>
      </c>
      <c r="S140" s="61">
        <v>0</v>
      </c>
      <c r="T140" s="61">
        <v>-0.52</v>
      </c>
      <c r="U140" s="61">
        <v>0</v>
      </c>
      <c r="V140" s="61">
        <v>0</v>
      </c>
      <c r="W140" s="61">
        <v>-0.57100000000000017</v>
      </c>
      <c r="X140" s="61">
        <v>0</v>
      </c>
      <c r="Y140" s="61">
        <v>-2.2690000000000001</v>
      </c>
      <c r="AA140" s="257">
        <v>0</v>
      </c>
      <c r="AB140" s="60">
        <v>-2.27</v>
      </c>
      <c r="AD140" s="61">
        <v>0</v>
      </c>
      <c r="AE140" s="60">
        <v>-2.27</v>
      </c>
    </row>
    <row r="141" spans="1:31" ht="18" customHeight="1" x14ac:dyDescent="0.2">
      <c r="A141" s="35"/>
      <c r="B141" s="35"/>
      <c r="C141" s="4">
        <v>0.88301043219076014</v>
      </c>
      <c r="D141" s="4">
        <v>-5.9375000000000311</v>
      </c>
      <c r="F141" s="106" t="s">
        <v>189</v>
      </c>
      <c r="H141" s="61">
        <v>-0.46599999999999997</v>
      </c>
      <c r="I141" s="61">
        <v>-0.16700000000000001</v>
      </c>
      <c r="J141" s="61">
        <v>-0.16700000000000001</v>
      </c>
      <c r="K141" s="86">
        <v>-8.0519999999999996</v>
      </c>
      <c r="L141" s="86">
        <v>0.191999999999999</v>
      </c>
      <c r="M141" s="61">
        <v>-1E-3</v>
      </c>
      <c r="N141" s="61">
        <v>-3.4999999999999996E-2</v>
      </c>
      <c r="O141" s="61">
        <v>-0.13200000000000001</v>
      </c>
      <c r="P141" s="61">
        <v>-0.58400000000000007</v>
      </c>
      <c r="Q141" s="61">
        <v>-0.29599999999999993</v>
      </c>
      <c r="R141" s="61">
        <v>-3.400000000000003E-2</v>
      </c>
      <c r="S141" s="61">
        <v>-8.9000000000000065E-2</v>
      </c>
      <c r="T141" s="61">
        <v>-3.7000000000000005E-2</v>
      </c>
      <c r="U141" s="61">
        <v>-2.6999999999999996E-2</v>
      </c>
      <c r="V141" s="61">
        <v>0.29300000000000004</v>
      </c>
      <c r="W141" s="61">
        <v>-3.0000000000000027E-3</v>
      </c>
      <c r="X141" s="61">
        <v>-2.0000000000000018E-3</v>
      </c>
      <c r="Y141" s="61">
        <v>-0.94700000000000006</v>
      </c>
      <c r="AA141" s="61">
        <v>-8.0519999999999996</v>
      </c>
      <c r="AB141" s="60">
        <v>7.11</v>
      </c>
      <c r="AD141" s="61">
        <v>0.19199999999999898</v>
      </c>
      <c r="AE141" s="60">
        <v>-1.1399999999999999</v>
      </c>
    </row>
    <row r="142" spans="1:31" ht="18" customHeight="1" x14ac:dyDescent="0.2">
      <c r="A142" s="35"/>
      <c r="B142" s="35"/>
      <c r="C142" s="4">
        <v>-0.29388528138528142</v>
      </c>
      <c r="D142" s="4">
        <v>-3.5108225108225102E-2</v>
      </c>
      <c r="F142" s="95" t="s">
        <v>65</v>
      </c>
      <c r="H142" s="195">
        <v>-198.36900000000003</v>
      </c>
      <c r="I142" s="195">
        <v>-181.559</v>
      </c>
      <c r="J142" s="64">
        <v>-181.559</v>
      </c>
      <c r="K142" s="89">
        <v>-184.79999999999998</v>
      </c>
      <c r="L142" s="89">
        <v>-231</v>
      </c>
      <c r="M142" s="64">
        <v>-20.125</v>
      </c>
      <c r="N142" s="64">
        <v>-18.073999999999998</v>
      </c>
      <c r="O142" s="64">
        <v>-23.606000000000005</v>
      </c>
      <c r="P142" s="64">
        <v>-24.247</v>
      </c>
      <c r="Q142" s="64">
        <v>-23.252999999999993</v>
      </c>
      <c r="R142" s="64">
        <v>-13.462000000000005</v>
      </c>
      <c r="S142" s="64">
        <v>-11.551000000000004</v>
      </c>
      <c r="T142" s="64">
        <v>-8.8609999999999953</v>
      </c>
      <c r="U142" s="64">
        <v>-36.147999999999996</v>
      </c>
      <c r="V142" s="64">
        <v>-13.327</v>
      </c>
      <c r="W142" s="64">
        <v>-27.414000000000001</v>
      </c>
      <c r="X142" s="64">
        <v>-19.038999999999998</v>
      </c>
      <c r="Y142" s="64">
        <v>-239.107</v>
      </c>
      <c r="AA142" s="64">
        <v>-184.79999999999998</v>
      </c>
      <c r="AB142" s="60">
        <v>-54.31</v>
      </c>
      <c r="AD142" s="64">
        <v>-231</v>
      </c>
      <c r="AE142" s="60">
        <v>-8.11</v>
      </c>
    </row>
    <row r="143" spans="1:31" ht="12.95" customHeight="1" x14ac:dyDescent="0.2">
      <c r="A143" s="35"/>
      <c r="B143" s="35"/>
      <c r="C143" s="4"/>
      <c r="D143" s="4"/>
      <c r="F143" s="39" t="s">
        <v>223</v>
      </c>
      <c r="H143" s="56">
        <v>3.145634559688229E-2</v>
      </c>
      <c r="I143" s="56">
        <v>2.7036400463773019E-2</v>
      </c>
      <c r="J143" s="56">
        <v>2.7036400463773019E-2</v>
      </c>
      <c r="K143" s="109">
        <v>2.8852355409184318E-2</v>
      </c>
      <c r="L143" s="109">
        <v>3.6159294370937067E-2</v>
      </c>
      <c r="M143" s="56">
        <v>3.8552605868808112E-2</v>
      </c>
      <c r="N143" s="56">
        <v>3.1495212288604461E-2</v>
      </c>
      <c r="O143" s="56">
        <v>4.4750456395508668E-2</v>
      </c>
      <c r="P143" s="56">
        <v>3.8298846943610805E-2</v>
      </c>
      <c r="Q143" s="56">
        <v>4.3209142432407303E-2</v>
      </c>
      <c r="R143" s="56">
        <v>2.4087029648052403E-2</v>
      </c>
      <c r="S143" s="56">
        <v>2.2545135161510681E-2</v>
      </c>
      <c r="T143" s="56">
        <v>1.6747116834811931E-2</v>
      </c>
      <c r="U143" s="56">
        <v>6.6217013310081327E-2</v>
      </c>
      <c r="V143" s="56">
        <v>2.6375161789560723E-2</v>
      </c>
      <c r="W143" s="56">
        <v>4.704230959310312E-2</v>
      </c>
      <c r="X143" s="56">
        <v>3.2531785941907865E-2</v>
      </c>
      <c r="Y143" s="56">
        <v>3.6150768026360414E-2</v>
      </c>
      <c r="AA143" s="56">
        <v>2.8852355409184318E-2</v>
      </c>
      <c r="AB143" s="57"/>
      <c r="AD143" s="56">
        <v>3.6159294370937067E-2</v>
      </c>
      <c r="AE143" s="57"/>
    </row>
    <row r="144" spans="1:31" ht="6.95" customHeight="1" x14ac:dyDescent="0.2">
      <c r="C144" s="4"/>
      <c r="D144" s="4"/>
      <c r="F144" s="96"/>
      <c r="H144" s="16"/>
      <c r="I144" s="16"/>
      <c r="J144" s="16"/>
      <c r="K144" s="85"/>
      <c r="L144" s="85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AA144" s="16"/>
      <c r="AB144" s="20"/>
      <c r="AD144" s="16"/>
      <c r="AE144" s="20"/>
    </row>
    <row r="145" spans="1:31" ht="18" hidden="1" customHeight="1" outlineLevel="1" collapsed="1" x14ac:dyDescent="0.2">
      <c r="A145" s="35"/>
      <c r="B145" s="35"/>
      <c r="C145" s="4"/>
      <c r="D145" s="4"/>
      <c r="F145" s="97" t="s">
        <v>242</v>
      </c>
      <c r="H145" s="74">
        <v>3.74322</v>
      </c>
      <c r="I145" s="74">
        <v>2.67658</v>
      </c>
      <c r="J145" s="74">
        <v>2.67658</v>
      </c>
      <c r="K145" s="112">
        <v>1.7</v>
      </c>
      <c r="L145" s="112">
        <v>3.84</v>
      </c>
      <c r="M145" s="74">
        <v>3.4675199999999999</v>
      </c>
      <c r="N145" s="74">
        <v>4.2487200000000005</v>
      </c>
      <c r="O145" s="74">
        <v>4.7215199999999991</v>
      </c>
      <c r="P145" s="74">
        <v>5.0724000000000009</v>
      </c>
      <c r="Q145" s="74">
        <v>1.3555199999999989</v>
      </c>
      <c r="R145" s="74">
        <v>5.9140799999999993</v>
      </c>
      <c r="S145" s="74">
        <v>6.0854399999999984</v>
      </c>
      <c r="T145" s="74">
        <v>1.44</v>
      </c>
      <c r="U145" s="74">
        <v>6.1934400000000025</v>
      </c>
      <c r="V145" s="74">
        <v>3.8376000000000023</v>
      </c>
      <c r="W145" s="74">
        <v>10.080959999999997</v>
      </c>
      <c r="X145" s="74">
        <v>4.8892799999999959</v>
      </c>
      <c r="Y145" s="74">
        <v>4.7755399999999995</v>
      </c>
      <c r="AA145" s="74">
        <v>1.7</v>
      </c>
      <c r="AB145" s="73">
        <v>3.08</v>
      </c>
      <c r="AD145" s="74">
        <v>3.84</v>
      </c>
      <c r="AE145" s="73">
        <v>0.94</v>
      </c>
    </row>
    <row r="146" spans="1:31" ht="18" customHeight="1" collapsed="1" x14ac:dyDescent="0.2">
      <c r="A146" s="30" t="s">
        <v>79</v>
      </c>
      <c r="B146" s="30" t="s">
        <v>18</v>
      </c>
      <c r="C146" s="4">
        <v>-1.8091764705882354</v>
      </c>
      <c r="D146" s="4">
        <v>-0.24364583333333334</v>
      </c>
      <c r="F146" s="106" t="s">
        <v>83</v>
      </c>
      <c r="H146" s="61">
        <v>-187.161</v>
      </c>
      <c r="I146" s="61">
        <v>-133.82900000000001</v>
      </c>
      <c r="J146" s="61">
        <v>-133.82900000000001</v>
      </c>
      <c r="K146" s="86">
        <v>-85</v>
      </c>
      <c r="L146" s="86">
        <v>-192</v>
      </c>
      <c r="M146" s="61">
        <v>-14.448</v>
      </c>
      <c r="N146" s="61">
        <v>-17.703000000000003</v>
      </c>
      <c r="O146" s="61">
        <v>-19.672999999999995</v>
      </c>
      <c r="P146" s="61">
        <v>-21.135000000000005</v>
      </c>
      <c r="Q146" s="61">
        <v>-5.6479999999999961</v>
      </c>
      <c r="R146" s="61">
        <v>-24.641999999999996</v>
      </c>
      <c r="S146" s="61">
        <v>-25.355999999999995</v>
      </c>
      <c r="T146" s="61">
        <v>-6</v>
      </c>
      <c r="U146" s="61">
        <v>-25.806000000000012</v>
      </c>
      <c r="V146" s="61">
        <v>-15.990000000000009</v>
      </c>
      <c r="W146" s="61">
        <v>-42.003999999999991</v>
      </c>
      <c r="X146" s="61">
        <v>-20.371999999999986</v>
      </c>
      <c r="Y146" s="61">
        <v>-238.77699999999999</v>
      </c>
      <c r="AA146" s="61">
        <v>-85</v>
      </c>
      <c r="AB146" s="60">
        <v>-153.78</v>
      </c>
      <c r="AD146" s="61">
        <v>-192</v>
      </c>
      <c r="AE146" s="60">
        <v>-46.78</v>
      </c>
    </row>
    <row r="147" spans="1:31" ht="18" customHeight="1" x14ac:dyDescent="0.2">
      <c r="A147" s="30" t="s">
        <v>80</v>
      </c>
      <c r="B147" s="30" t="s">
        <v>18</v>
      </c>
      <c r="C147" s="4">
        <v>-0.12</v>
      </c>
      <c r="D147" s="4">
        <v>-0.12</v>
      </c>
      <c r="F147" s="106" t="s">
        <v>84</v>
      </c>
      <c r="H147" s="61">
        <v>-0.224</v>
      </c>
      <c r="I147" s="61">
        <v>-0.46200000000000002</v>
      </c>
      <c r="J147" s="61">
        <v>-0.46200000000000002</v>
      </c>
      <c r="K147" s="86">
        <v>-0.5</v>
      </c>
      <c r="L147" s="86">
        <v>-0.5</v>
      </c>
      <c r="M147" s="61">
        <v>0</v>
      </c>
      <c r="N147" s="61">
        <v>-6.2E-2</v>
      </c>
      <c r="O147" s="61">
        <v>0</v>
      </c>
      <c r="P147" s="61">
        <v>-5.4000000000000006E-2</v>
      </c>
      <c r="Q147" s="61">
        <v>-0.38700000000000001</v>
      </c>
      <c r="R147" s="61">
        <v>0</v>
      </c>
      <c r="S147" s="61">
        <v>0</v>
      </c>
      <c r="T147" s="61">
        <v>0</v>
      </c>
      <c r="U147" s="61">
        <v>0</v>
      </c>
      <c r="V147" s="61">
        <v>0</v>
      </c>
      <c r="W147" s="61">
        <v>-1.0000000000000009E-2</v>
      </c>
      <c r="X147" s="61">
        <v>-4.3000000000000038E-2</v>
      </c>
      <c r="Y147" s="61">
        <v>-0.55600000000000005</v>
      </c>
      <c r="AA147" s="61">
        <v>-0.5</v>
      </c>
      <c r="AB147" s="60">
        <v>-0.06</v>
      </c>
      <c r="AD147" s="61">
        <v>-0.5</v>
      </c>
      <c r="AE147" s="60">
        <v>-0.06</v>
      </c>
    </row>
    <row r="148" spans="1:31" ht="18" customHeight="1" x14ac:dyDescent="0.2">
      <c r="A148" s="30" t="s">
        <v>81</v>
      </c>
      <c r="B148" s="30" t="s">
        <v>18</v>
      </c>
      <c r="C148" s="4">
        <v>0.16650000000000001</v>
      </c>
      <c r="D148" s="4">
        <v>-0.11133333333333333</v>
      </c>
      <c r="F148" s="106" t="s">
        <v>85</v>
      </c>
      <c r="H148" s="61">
        <v>-20.681000000000001</v>
      </c>
      <c r="I148" s="61">
        <v>-24.248999999999999</v>
      </c>
      <c r="J148" s="61">
        <v>-24.248999999999999</v>
      </c>
      <c r="K148" s="86">
        <v>-20</v>
      </c>
      <c r="L148" s="86">
        <v>-15</v>
      </c>
      <c r="M148" s="61">
        <v>-0.433</v>
      </c>
      <c r="N148" s="61">
        <v>-0.49700000000000005</v>
      </c>
      <c r="O148" s="61">
        <v>-1.1959999999999997</v>
      </c>
      <c r="P148" s="61">
        <v>-0.87999999999999989</v>
      </c>
      <c r="Q148" s="61">
        <v>-1.754</v>
      </c>
      <c r="R148" s="61">
        <v>-4.9450000000000003</v>
      </c>
      <c r="S148" s="61">
        <v>-0.41200000000000081</v>
      </c>
      <c r="T148" s="61">
        <v>-0.57199999999999918</v>
      </c>
      <c r="U148" s="61">
        <v>-0.26900000000000013</v>
      </c>
      <c r="V148" s="61">
        <v>-2.1509999999999998</v>
      </c>
      <c r="W148" s="61">
        <v>-2.8350000000000009</v>
      </c>
      <c r="X148" s="61">
        <v>-0.72399999999999842</v>
      </c>
      <c r="Y148" s="61">
        <v>-16.667999999999999</v>
      </c>
      <c r="AA148" s="61">
        <v>-20</v>
      </c>
      <c r="AB148" s="60">
        <v>3.33</v>
      </c>
      <c r="AD148" s="61">
        <v>-15</v>
      </c>
      <c r="AE148" s="60">
        <v>-1.67</v>
      </c>
    </row>
    <row r="149" spans="1:31" ht="18" customHeight="1" x14ac:dyDescent="0.2">
      <c r="A149" s="30" t="s">
        <v>204</v>
      </c>
      <c r="B149" s="30" t="s">
        <v>18</v>
      </c>
      <c r="C149" s="4">
        <v>-0.25714285714285717</v>
      </c>
      <c r="D149" s="4">
        <v>-6.4730792498487594E-2</v>
      </c>
      <c r="F149" s="104" t="s">
        <v>139</v>
      </c>
      <c r="G149" s="36"/>
      <c r="H149" s="65">
        <v>-11.772</v>
      </c>
      <c r="I149" s="65">
        <v>-9.5569999999999897</v>
      </c>
      <c r="J149" s="65">
        <v>-9.5569999999999897</v>
      </c>
      <c r="K149" s="65">
        <v>-14</v>
      </c>
      <c r="L149" s="65">
        <v>-16.53</v>
      </c>
      <c r="M149" s="65">
        <v>0</v>
      </c>
      <c r="N149" s="65">
        <v>-0.5</v>
      </c>
      <c r="O149" s="65">
        <v>3.1339999999999999</v>
      </c>
      <c r="P149" s="65">
        <v>0.5</v>
      </c>
      <c r="Q149" s="65">
        <v>0</v>
      </c>
      <c r="R149" s="65">
        <v>-7.9570000000000007</v>
      </c>
      <c r="S149" s="65">
        <v>-11.844999999999999</v>
      </c>
      <c r="T149" s="65">
        <v>2.0219999999999985</v>
      </c>
      <c r="U149" s="65">
        <v>0</v>
      </c>
      <c r="V149" s="65">
        <v>-0.49899999999999878</v>
      </c>
      <c r="W149" s="65">
        <v>-1.2999999999999901E-2</v>
      </c>
      <c r="X149" s="65">
        <v>-2.4380000000000006</v>
      </c>
      <c r="Y149" s="65">
        <v>-17.596</v>
      </c>
      <c r="Z149" s="36"/>
      <c r="AA149" s="65">
        <v>-14</v>
      </c>
      <c r="AB149" s="60">
        <v>-3.6</v>
      </c>
      <c r="AC149" s="36"/>
      <c r="AD149" s="65">
        <v>-16.53</v>
      </c>
      <c r="AE149" s="60">
        <v>-1.07</v>
      </c>
    </row>
    <row r="150" spans="1:31" ht="18" customHeight="1" x14ac:dyDescent="0.2">
      <c r="A150" s="30" t="s">
        <v>82</v>
      </c>
      <c r="B150" s="30" t="s">
        <v>18</v>
      </c>
      <c r="C150" s="4">
        <v>0.19214285714285714</v>
      </c>
      <c r="D150" s="4">
        <v>0.1333333333333333</v>
      </c>
      <c r="F150" s="106" t="s">
        <v>86</v>
      </c>
      <c r="H150" s="61">
        <v>-5.3920000000000003</v>
      </c>
      <c r="I150" s="61">
        <v>-12.805999999999999</v>
      </c>
      <c r="J150" s="61">
        <v>-12.805999999999999</v>
      </c>
      <c r="K150" s="86">
        <v>-14</v>
      </c>
      <c r="L150" s="86">
        <v>-13.05</v>
      </c>
      <c r="M150" s="61">
        <v>-0.48899999999999999</v>
      </c>
      <c r="N150" s="61">
        <v>-6.0620000000000003</v>
      </c>
      <c r="O150" s="61">
        <v>-0.9740000000000002</v>
      </c>
      <c r="P150" s="61">
        <v>-1.4260000000000002</v>
      </c>
      <c r="Q150" s="61">
        <v>5.0000000000007816E-3</v>
      </c>
      <c r="R150" s="61">
        <v>6.7000000000000171E-2</v>
      </c>
      <c r="S150" s="61">
        <v>-4.1999999999999815E-2</v>
      </c>
      <c r="T150" s="61">
        <v>-0.68000000000000149</v>
      </c>
      <c r="U150" s="61">
        <v>-0.24099999999999966</v>
      </c>
      <c r="V150" s="61">
        <v>-1.0279999999999987</v>
      </c>
      <c r="W150" s="61">
        <v>-0.29100000000000037</v>
      </c>
      <c r="X150" s="61">
        <v>-0.14499999999999957</v>
      </c>
      <c r="Y150" s="61">
        <v>-11.305999999999999</v>
      </c>
      <c r="AA150" s="61">
        <v>-14</v>
      </c>
      <c r="AB150" s="60">
        <v>2.69</v>
      </c>
      <c r="AD150" s="61">
        <v>-13.050000000000002</v>
      </c>
      <c r="AE150" s="60">
        <v>1.74</v>
      </c>
    </row>
    <row r="151" spans="1:31" ht="18" hidden="1" customHeight="1" outlineLevel="1" x14ac:dyDescent="0.2">
      <c r="A151" s="30" t="s">
        <v>140</v>
      </c>
      <c r="B151" s="30" t="s">
        <v>18</v>
      </c>
      <c r="C151" s="4">
        <v>0</v>
      </c>
      <c r="D151" s="4">
        <v>0</v>
      </c>
      <c r="F151" s="38" t="s">
        <v>141</v>
      </c>
      <c r="G151" s="34"/>
      <c r="H151" s="66">
        <v>0</v>
      </c>
      <c r="I151" s="66">
        <v>0</v>
      </c>
      <c r="J151" s="66">
        <v>0</v>
      </c>
      <c r="K151" s="86">
        <v>0</v>
      </c>
      <c r="L151" s="8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34"/>
      <c r="AA151" s="66">
        <v>0</v>
      </c>
      <c r="AB151" s="60">
        <v>0</v>
      </c>
      <c r="AC151" s="34"/>
      <c r="AD151" s="66">
        <v>0</v>
      </c>
      <c r="AE151" s="60">
        <v>0</v>
      </c>
    </row>
    <row r="152" spans="1:31" ht="18" hidden="1" customHeight="1" outlineLevel="1" x14ac:dyDescent="0.2">
      <c r="A152" s="30" t="s">
        <v>123</v>
      </c>
      <c r="B152" s="30" t="s">
        <v>18</v>
      </c>
      <c r="C152" s="4">
        <v>0</v>
      </c>
      <c r="D152" s="4">
        <v>0</v>
      </c>
      <c r="F152" s="38" t="s">
        <v>142</v>
      </c>
      <c r="G152" s="34"/>
      <c r="H152" s="66">
        <v>0</v>
      </c>
      <c r="I152" s="66">
        <v>0</v>
      </c>
      <c r="J152" s="66">
        <v>0</v>
      </c>
      <c r="K152" s="86">
        <v>0</v>
      </c>
      <c r="L152" s="8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34"/>
      <c r="AA152" s="66">
        <v>0</v>
      </c>
      <c r="AB152" s="60">
        <v>0</v>
      </c>
      <c r="AC152" s="34"/>
      <c r="AD152" s="66">
        <v>0</v>
      </c>
      <c r="AE152" s="60">
        <v>0</v>
      </c>
    </row>
    <row r="153" spans="1:31" ht="18" hidden="1" customHeight="1" outlineLevel="1" x14ac:dyDescent="0.2">
      <c r="A153" s="30" t="s">
        <v>124</v>
      </c>
      <c r="B153" s="30" t="s">
        <v>18</v>
      </c>
      <c r="C153" s="4">
        <v>0</v>
      </c>
      <c r="D153" s="4">
        <v>0</v>
      </c>
      <c r="F153" s="38" t="s">
        <v>143</v>
      </c>
      <c r="G153" s="34"/>
      <c r="H153" s="66">
        <v>0</v>
      </c>
      <c r="I153" s="66">
        <v>0</v>
      </c>
      <c r="J153" s="66">
        <v>0</v>
      </c>
      <c r="K153" s="86">
        <v>0</v>
      </c>
      <c r="L153" s="8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34"/>
      <c r="AA153" s="66">
        <v>0</v>
      </c>
      <c r="AB153" s="60">
        <v>0</v>
      </c>
      <c r="AC153" s="34"/>
      <c r="AD153" s="66">
        <v>0</v>
      </c>
      <c r="AE153" s="60">
        <v>0</v>
      </c>
    </row>
    <row r="154" spans="1:31" ht="18" hidden="1" customHeight="1" outlineLevel="1" x14ac:dyDescent="0.2">
      <c r="A154" s="30" t="s">
        <v>265</v>
      </c>
      <c r="B154" s="30" t="s">
        <v>18</v>
      </c>
      <c r="C154" s="4">
        <v>0</v>
      </c>
      <c r="D154" s="4">
        <v>0</v>
      </c>
      <c r="F154" s="38" t="s">
        <v>266</v>
      </c>
      <c r="G154" s="34"/>
      <c r="H154" s="66">
        <v>0</v>
      </c>
      <c r="I154" s="66">
        <v>0</v>
      </c>
      <c r="J154" s="66">
        <v>0</v>
      </c>
      <c r="K154" s="86">
        <v>0</v>
      </c>
      <c r="L154" s="8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34"/>
      <c r="AA154" s="66">
        <v>0</v>
      </c>
      <c r="AB154" s="60">
        <v>0</v>
      </c>
      <c r="AC154" s="34"/>
      <c r="AD154" s="66">
        <v>0</v>
      </c>
      <c r="AE154" s="60">
        <v>0</v>
      </c>
    </row>
    <row r="155" spans="1:31" ht="18" hidden="1" customHeight="1" outlineLevel="1" x14ac:dyDescent="0.2">
      <c r="A155" s="30" t="s">
        <v>144</v>
      </c>
      <c r="B155" s="30" t="s">
        <v>18</v>
      </c>
      <c r="C155" s="4">
        <v>0</v>
      </c>
      <c r="D155" s="4">
        <v>0</v>
      </c>
      <c r="F155" s="38" t="s">
        <v>145</v>
      </c>
      <c r="G155" s="34"/>
      <c r="H155" s="66">
        <v>0</v>
      </c>
      <c r="I155" s="66">
        <v>0</v>
      </c>
      <c r="J155" s="66">
        <v>0</v>
      </c>
      <c r="K155" s="86">
        <v>0</v>
      </c>
      <c r="L155" s="8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34"/>
      <c r="AA155" s="66">
        <v>0</v>
      </c>
      <c r="AB155" s="60">
        <v>0</v>
      </c>
      <c r="AC155" s="34"/>
      <c r="AD155" s="66">
        <v>0</v>
      </c>
      <c r="AE155" s="60">
        <v>0</v>
      </c>
    </row>
    <row r="156" spans="1:31" ht="18" customHeight="1" collapsed="1" x14ac:dyDescent="0.2">
      <c r="A156" s="35"/>
      <c r="B156" s="35"/>
      <c r="C156" s="4">
        <v>0</v>
      </c>
      <c r="D156" s="4">
        <v>0</v>
      </c>
      <c r="F156" s="106" t="s">
        <v>69</v>
      </c>
      <c r="H156" s="61">
        <v>0</v>
      </c>
      <c r="I156" s="61">
        <v>0</v>
      </c>
      <c r="J156" s="61">
        <v>0</v>
      </c>
      <c r="K156" s="86">
        <v>0</v>
      </c>
      <c r="L156" s="86">
        <v>0</v>
      </c>
      <c r="M156" s="61">
        <v>0</v>
      </c>
      <c r="N156" s="61">
        <v>0</v>
      </c>
      <c r="O156" s="61">
        <v>0</v>
      </c>
      <c r="P156" s="61">
        <v>0</v>
      </c>
      <c r="Q156" s="61">
        <v>0</v>
      </c>
      <c r="R156" s="61">
        <v>0</v>
      </c>
      <c r="S156" s="61">
        <v>0</v>
      </c>
      <c r="T156" s="61">
        <v>0</v>
      </c>
      <c r="U156" s="61">
        <v>0</v>
      </c>
      <c r="V156" s="61">
        <v>0</v>
      </c>
      <c r="W156" s="61">
        <v>0</v>
      </c>
      <c r="X156" s="61">
        <v>0</v>
      </c>
      <c r="Y156" s="61">
        <v>0</v>
      </c>
      <c r="AA156" s="61">
        <v>0</v>
      </c>
      <c r="AB156" s="60">
        <v>0</v>
      </c>
      <c r="AD156" s="61">
        <v>0</v>
      </c>
      <c r="AE156" s="60">
        <v>0</v>
      </c>
    </row>
    <row r="157" spans="1:31" ht="18" customHeight="1" x14ac:dyDescent="0.2">
      <c r="A157" s="35"/>
      <c r="B157" s="35"/>
      <c r="C157" s="4">
        <v>-1.1340823970037455</v>
      </c>
      <c r="D157" s="4">
        <v>-0.20170406613801248</v>
      </c>
      <c r="F157" s="95" t="s">
        <v>276</v>
      </c>
      <c r="H157" s="64">
        <v>-225.23</v>
      </c>
      <c r="I157" s="64">
        <v>-180.90299999999999</v>
      </c>
      <c r="J157" s="64">
        <v>-180.90299999999999</v>
      </c>
      <c r="K157" s="89">
        <v>-133.5</v>
      </c>
      <c r="L157" s="89">
        <v>-237.08</v>
      </c>
      <c r="M157" s="64">
        <v>-15.370000000000001</v>
      </c>
      <c r="N157" s="64">
        <v>-24.824000000000005</v>
      </c>
      <c r="O157" s="64">
        <v>-18.708999999999993</v>
      </c>
      <c r="P157" s="64">
        <v>-22.995000000000005</v>
      </c>
      <c r="Q157" s="64">
        <v>-7.7839999999999954</v>
      </c>
      <c r="R157" s="64">
        <v>-37.476999999999997</v>
      </c>
      <c r="S157" s="64">
        <v>-37.654999999999994</v>
      </c>
      <c r="T157" s="64">
        <v>-5.2300000000000022</v>
      </c>
      <c r="U157" s="64">
        <v>-26.31600000000001</v>
      </c>
      <c r="V157" s="64">
        <v>-19.668000000000006</v>
      </c>
      <c r="W157" s="64">
        <v>-45.152999999999992</v>
      </c>
      <c r="X157" s="64">
        <v>-23.721999999999984</v>
      </c>
      <c r="Y157" s="64">
        <v>-284.90299999999996</v>
      </c>
      <c r="AA157" s="64">
        <v>-133.5</v>
      </c>
      <c r="AB157" s="60">
        <v>-151.4</v>
      </c>
      <c r="AD157" s="64">
        <v>-237.08</v>
      </c>
      <c r="AE157" s="60">
        <v>-47.82</v>
      </c>
    </row>
    <row r="158" spans="1:31" ht="12.95" customHeight="1" x14ac:dyDescent="0.2">
      <c r="A158" s="35"/>
      <c r="B158" s="35"/>
      <c r="C158" s="4"/>
      <c r="D158" s="4"/>
      <c r="F158" s="39" t="s">
        <v>223</v>
      </c>
      <c r="H158" s="56">
        <v>3.5715826156233067E-2</v>
      </c>
      <c r="I158" s="56">
        <v>2.6938713878672662E-2</v>
      </c>
      <c r="J158" s="56">
        <v>2.6938713878672662E-2</v>
      </c>
      <c r="K158" s="109">
        <v>2.0843016488777635E-2</v>
      </c>
      <c r="L158" s="109">
        <v>3.711101952147948E-2</v>
      </c>
      <c r="M158" s="56">
        <v>2.9443654767879791E-2</v>
      </c>
      <c r="N158" s="56">
        <v>4.3257560576093687E-2</v>
      </c>
      <c r="O158" s="56">
        <v>3.5467096869591257E-2</v>
      </c>
      <c r="P158" s="56">
        <v>3.6321276259674622E-2</v>
      </c>
      <c r="Q158" s="56">
        <v>1.4464368670445033E-2</v>
      </c>
      <c r="R158" s="56">
        <v>6.7056129113063398E-2</v>
      </c>
      <c r="S158" s="56">
        <v>7.3494681370157078E-2</v>
      </c>
      <c r="T158" s="56">
        <v>9.8845977932588286E-3</v>
      </c>
      <c r="U158" s="56">
        <v>4.820645463837836E-2</v>
      </c>
      <c r="V158" s="56">
        <v>3.8924490288668158E-2</v>
      </c>
      <c r="W158" s="56">
        <v>7.7482359562901615E-2</v>
      </c>
      <c r="X158" s="56">
        <v>4.0533590320601817E-2</v>
      </c>
      <c r="Y158" s="56">
        <v>4.30746998750106E-2</v>
      </c>
      <c r="AA158" s="56">
        <v>2.0843016488777635E-2</v>
      </c>
      <c r="AB158" s="57"/>
      <c r="AD158" s="56">
        <v>3.711101952147948E-2</v>
      </c>
      <c r="AE158" s="57"/>
    </row>
    <row r="159" spans="1:31" ht="6.95" customHeight="1" x14ac:dyDescent="0.2">
      <c r="C159" s="4"/>
      <c r="D159" s="4"/>
      <c r="F159" s="96"/>
      <c r="H159" s="16"/>
      <c r="I159" s="16"/>
      <c r="J159" s="16"/>
      <c r="K159" s="85"/>
      <c r="L159" s="85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AA159" s="16"/>
      <c r="AB159" s="20"/>
      <c r="AD159" s="16"/>
      <c r="AE159" s="20"/>
    </row>
    <row r="160" spans="1:31" ht="18" customHeight="1" x14ac:dyDescent="0.2">
      <c r="A160" s="30" t="s">
        <v>89</v>
      </c>
      <c r="B160" s="30" t="s">
        <v>18</v>
      </c>
      <c r="C160" s="4">
        <v>0.08</v>
      </c>
      <c r="D160" s="4">
        <v>0.08</v>
      </c>
      <c r="F160" s="106" t="s">
        <v>187</v>
      </c>
      <c r="H160" s="61">
        <v>-1.5429999999999999</v>
      </c>
      <c r="I160" s="61">
        <v>-1.766</v>
      </c>
      <c r="J160" s="61">
        <v>-1.766</v>
      </c>
      <c r="K160" s="86">
        <v>-2</v>
      </c>
      <c r="L160" s="86">
        <v>-2</v>
      </c>
      <c r="M160" s="61">
        <v>-4.7E-2</v>
      </c>
      <c r="N160" s="61">
        <v>-0.15799999999999997</v>
      </c>
      <c r="O160" s="61">
        <v>-0.18800000000000006</v>
      </c>
      <c r="P160" s="61">
        <v>-0.23199999999999998</v>
      </c>
      <c r="Q160" s="61">
        <v>-0.372</v>
      </c>
      <c r="R160" s="61">
        <v>-0.45099999999999996</v>
      </c>
      <c r="S160" s="61">
        <v>-0.10000000000000009</v>
      </c>
      <c r="T160" s="61">
        <v>-0.18300000000000005</v>
      </c>
      <c r="U160" s="61">
        <v>-5.2999999999999936E-2</v>
      </c>
      <c r="V160" s="61">
        <v>0.15400000000000014</v>
      </c>
      <c r="W160" s="61">
        <v>-0.19500000000000006</v>
      </c>
      <c r="X160" s="61">
        <v>-1.6000000000000014E-2</v>
      </c>
      <c r="Y160" s="61">
        <v>-1.841</v>
      </c>
      <c r="AA160" s="61">
        <v>-2</v>
      </c>
      <c r="AB160" s="60">
        <v>0.16</v>
      </c>
      <c r="AD160" s="61">
        <v>-2</v>
      </c>
      <c r="AE160" s="60">
        <v>0.16</v>
      </c>
    </row>
    <row r="161" spans="1:31" ht="18" customHeight="1" x14ac:dyDescent="0.2">
      <c r="A161" s="30" t="s">
        <v>75</v>
      </c>
      <c r="B161" s="30" t="s">
        <v>18</v>
      </c>
      <c r="C161" s="4">
        <v>-0.99514563106796117</v>
      </c>
      <c r="D161" s="4">
        <v>0.37878787878787878</v>
      </c>
      <c r="F161" s="106" t="s">
        <v>94</v>
      </c>
      <c r="H161" s="61">
        <v>-0.16300000000000001</v>
      </c>
      <c r="I161" s="61">
        <v>-1.649</v>
      </c>
      <c r="J161" s="61">
        <v>-1.649</v>
      </c>
      <c r="K161" s="86">
        <v>0</v>
      </c>
      <c r="L161" s="86">
        <v>-0.66</v>
      </c>
      <c r="M161" s="61">
        <v>-0.13800000000000001</v>
      </c>
      <c r="N161" s="61">
        <v>0.27600000000000002</v>
      </c>
      <c r="O161" s="61">
        <v>-0.13800000000000001</v>
      </c>
      <c r="P161" s="61">
        <v>-0.13800000000000001</v>
      </c>
      <c r="Q161" s="61">
        <v>-0.13600000000000001</v>
      </c>
      <c r="R161" s="61">
        <v>-0.13799999999999996</v>
      </c>
      <c r="S161" s="61">
        <v>-0.13800000000000007</v>
      </c>
      <c r="T161" s="61">
        <v>0.27600000000000002</v>
      </c>
      <c r="U161" s="61">
        <v>-0.13799999999999996</v>
      </c>
      <c r="V161" s="61">
        <v>-0.13800000000000007</v>
      </c>
      <c r="W161" s="61">
        <v>0.41400000000000003</v>
      </c>
      <c r="X161" s="61">
        <v>-0.27599999999999997</v>
      </c>
      <c r="Y161" s="61">
        <v>-0.41199999999999998</v>
      </c>
      <c r="AA161" s="61">
        <v>0</v>
      </c>
      <c r="AB161" s="60">
        <v>-0.41</v>
      </c>
      <c r="AD161" s="61">
        <v>-0.66</v>
      </c>
      <c r="AE161" s="60">
        <v>0.25</v>
      </c>
    </row>
    <row r="162" spans="1:31" ht="18" customHeight="1" x14ac:dyDescent="0.2">
      <c r="A162" s="30" t="s">
        <v>91</v>
      </c>
      <c r="B162" s="30" t="s">
        <v>18</v>
      </c>
      <c r="C162" s="4">
        <v>0.1938</v>
      </c>
      <c r="D162" s="4">
        <v>2.3498062015503876E-2</v>
      </c>
      <c r="F162" s="106" t="s">
        <v>96</v>
      </c>
      <c r="H162" s="61">
        <v>-12.287000000000001</v>
      </c>
      <c r="I162" s="61">
        <v>-39.189</v>
      </c>
      <c r="J162" s="61">
        <v>-39.189</v>
      </c>
      <c r="K162" s="86">
        <v>-50</v>
      </c>
      <c r="L162" s="86">
        <v>-41.28</v>
      </c>
      <c r="M162" s="61">
        <v>-2.1110000000000002</v>
      </c>
      <c r="N162" s="61">
        <v>-3.6019999999999999</v>
      </c>
      <c r="O162" s="61">
        <v>-3.4970000000000008</v>
      </c>
      <c r="P162" s="61">
        <v>-1.7129999999999992</v>
      </c>
      <c r="Q162" s="61">
        <v>-2.6440000000000001</v>
      </c>
      <c r="R162" s="61">
        <v>-3.1460000000000008</v>
      </c>
      <c r="S162" s="61">
        <v>-3.2659999999999982</v>
      </c>
      <c r="T162" s="61">
        <v>-4.7330000000000005</v>
      </c>
      <c r="U162" s="61">
        <v>-6.9909999999999997</v>
      </c>
      <c r="V162" s="61">
        <v>-2.1860000000000035</v>
      </c>
      <c r="W162" s="61">
        <v>-2.2339999999999947</v>
      </c>
      <c r="X162" s="61">
        <v>-4.1829999999999998</v>
      </c>
      <c r="Y162" s="61">
        <v>-40.305999999999997</v>
      </c>
      <c r="AA162" s="61">
        <v>-50</v>
      </c>
      <c r="AB162" s="60">
        <v>9.69</v>
      </c>
      <c r="AD162" s="61">
        <v>-41.28</v>
      </c>
      <c r="AE162" s="60">
        <v>0.97</v>
      </c>
    </row>
    <row r="163" spans="1:31" ht="18" customHeight="1" x14ac:dyDescent="0.2">
      <c r="A163" s="30" t="s">
        <v>74</v>
      </c>
      <c r="B163" s="30" t="s">
        <v>18</v>
      </c>
      <c r="C163" s="4">
        <v>0.32674418604651162</v>
      </c>
      <c r="D163" s="4">
        <v>0.16086956521739129</v>
      </c>
      <c r="F163" s="106" t="s">
        <v>97</v>
      </c>
      <c r="H163" s="61">
        <v>-5.9569999999999999</v>
      </c>
      <c r="I163" s="61">
        <v>-6.2480000000000002</v>
      </c>
      <c r="J163" s="61">
        <v>-6.2480000000000002</v>
      </c>
      <c r="K163" s="86">
        <v>-8.6</v>
      </c>
      <c r="L163" s="86">
        <v>-6.9</v>
      </c>
      <c r="M163" s="61">
        <v>-0.495</v>
      </c>
      <c r="N163" s="61">
        <v>-0.48499999999999999</v>
      </c>
      <c r="O163" s="61">
        <v>-0.49199999999999999</v>
      </c>
      <c r="P163" s="61">
        <v>-0.49500000000000011</v>
      </c>
      <c r="Q163" s="61">
        <v>-0.46899999999999986</v>
      </c>
      <c r="R163" s="61">
        <v>-0.50200000000000022</v>
      </c>
      <c r="S163" s="61">
        <v>-0.53600000000000003</v>
      </c>
      <c r="T163" s="61">
        <v>-0.54899999999999949</v>
      </c>
      <c r="U163" s="61">
        <v>-0.55100000000000016</v>
      </c>
      <c r="V163" s="61">
        <v>-0.54800000000000004</v>
      </c>
      <c r="W163" s="61">
        <v>-0.53000000000000025</v>
      </c>
      <c r="X163" s="61">
        <v>-0.13699999999999957</v>
      </c>
      <c r="Y163" s="61">
        <v>-5.7889999999999997</v>
      </c>
      <c r="AA163" s="61">
        <v>-8.6</v>
      </c>
      <c r="AB163" s="60">
        <v>2.81</v>
      </c>
      <c r="AD163" s="61">
        <v>-6.9000000000000012</v>
      </c>
      <c r="AE163" s="60">
        <v>1.1100000000000001</v>
      </c>
    </row>
    <row r="164" spans="1:31" ht="18" customHeight="1" x14ac:dyDescent="0.2">
      <c r="A164" s="30" t="s">
        <v>92</v>
      </c>
      <c r="B164" s="30" t="s">
        <v>18</v>
      </c>
      <c r="C164" s="4">
        <v>-0.64814814814814825</v>
      </c>
      <c r="D164" s="4">
        <v>0.38596491228070179</v>
      </c>
      <c r="F164" s="106" t="s">
        <v>98</v>
      </c>
      <c r="H164" s="61">
        <v>-0.96399999999999997</v>
      </c>
      <c r="I164" s="61">
        <v>-0.52600000000000002</v>
      </c>
      <c r="J164" s="61">
        <v>-0.52600000000000002</v>
      </c>
      <c r="K164" s="86">
        <v>-0.216</v>
      </c>
      <c r="L164" s="86">
        <v>-0.56999999999999995</v>
      </c>
      <c r="M164" s="61">
        <v>-2.9000000000000001E-2</v>
      </c>
      <c r="N164" s="61">
        <v>-2.9000000000000001E-2</v>
      </c>
      <c r="O164" s="61">
        <v>-3.0999999999999993E-2</v>
      </c>
      <c r="P164" s="61">
        <v>-2.8999999999999998E-2</v>
      </c>
      <c r="Q164" s="61">
        <v>-2.8999999999999998E-2</v>
      </c>
      <c r="R164" s="61">
        <v>-3.1E-2</v>
      </c>
      <c r="S164" s="61">
        <v>-2.8999999999999998E-2</v>
      </c>
      <c r="T164" s="61">
        <v>-2.8999999999999998E-2</v>
      </c>
      <c r="U164" s="61">
        <v>-3.0000000000000027E-2</v>
      </c>
      <c r="V164" s="61">
        <v>-2.899999999999997E-2</v>
      </c>
      <c r="W164" s="61">
        <v>-2.9000000000000026E-2</v>
      </c>
      <c r="X164" s="61">
        <v>-2.9999999999999971E-2</v>
      </c>
      <c r="Y164" s="61">
        <v>-0.35399999999999998</v>
      </c>
      <c r="AA164" s="61">
        <v>-0.216</v>
      </c>
      <c r="AB164" s="60">
        <v>-0.14000000000000001</v>
      </c>
      <c r="AD164" s="61">
        <v>-0.56999999999999995</v>
      </c>
      <c r="AE164" s="60">
        <v>0.22</v>
      </c>
    </row>
    <row r="165" spans="1:31" ht="18" customHeight="1" x14ac:dyDescent="0.2">
      <c r="A165" s="30" t="s">
        <v>125</v>
      </c>
      <c r="B165" s="30" t="s">
        <v>18</v>
      </c>
      <c r="C165" s="4">
        <v>1</v>
      </c>
      <c r="D165" s="4">
        <v>0</v>
      </c>
      <c r="F165" s="106" t="s">
        <v>126</v>
      </c>
      <c r="H165" s="61">
        <v>0</v>
      </c>
      <c r="I165" s="61">
        <v>-0.315</v>
      </c>
      <c r="J165" s="61">
        <v>-0.315</v>
      </c>
      <c r="K165" s="86">
        <v>-1</v>
      </c>
      <c r="L165" s="86">
        <v>0</v>
      </c>
      <c r="M165" s="61">
        <v>0</v>
      </c>
      <c r="N165" s="61">
        <v>0</v>
      </c>
      <c r="O165" s="61">
        <v>0</v>
      </c>
      <c r="P165" s="61">
        <v>0</v>
      </c>
      <c r="Q165" s="61">
        <v>0</v>
      </c>
      <c r="R165" s="61">
        <v>0</v>
      </c>
      <c r="S165" s="61">
        <v>0</v>
      </c>
      <c r="T165" s="61">
        <v>0</v>
      </c>
      <c r="U165" s="61">
        <v>0</v>
      </c>
      <c r="V165" s="61">
        <v>0</v>
      </c>
      <c r="W165" s="61">
        <v>0</v>
      </c>
      <c r="X165" s="61">
        <v>0</v>
      </c>
      <c r="Y165" s="61">
        <v>0</v>
      </c>
      <c r="AA165" s="61">
        <v>-1</v>
      </c>
      <c r="AB165" s="60">
        <v>1</v>
      </c>
      <c r="AD165" s="61">
        <v>0</v>
      </c>
      <c r="AE165" s="60">
        <v>0</v>
      </c>
    </row>
    <row r="166" spans="1:31" ht="18" hidden="1" customHeight="1" outlineLevel="1" x14ac:dyDescent="0.2">
      <c r="A166" s="30" t="s">
        <v>73</v>
      </c>
      <c r="B166" s="30" t="s">
        <v>18</v>
      </c>
      <c r="C166" s="4">
        <v>0</v>
      </c>
      <c r="D166" s="4">
        <v>0</v>
      </c>
      <c r="F166" s="38" t="s">
        <v>72</v>
      </c>
      <c r="G166" s="34"/>
      <c r="H166" s="66">
        <v>0</v>
      </c>
      <c r="I166" s="66">
        <v>0</v>
      </c>
      <c r="J166" s="66">
        <v>0</v>
      </c>
      <c r="K166" s="86">
        <v>0</v>
      </c>
      <c r="L166" s="8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34"/>
      <c r="AA166" s="66">
        <v>0</v>
      </c>
      <c r="AB166" s="60">
        <v>0</v>
      </c>
      <c r="AC166" s="34"/>
      <c r="AD166" s="66">
        <v>0</v>
      </c>
      <c r="AE166" s="60">
        <v>0</v>
      </c>
    </row>
    <row r="167" spans="1:31" ht="18" hidden="1" customHeight="1" outlineLevel="1" x14ac:dyDescent="0.2">
      <c r="A167" s="30" t="s">
        <v>129</v>
      </c>
      <c r="B167" s="30" t="s">
        <v>18</v>
      </c>
      <c r="C167" s="4">
        <v>-1</v>
      </c>
      <c r="D167" s="4">
        <v>0</v>
      </c>
      <c r="F167" s="38" t="s">
        <v>190</v>
      </c>
      <c r="G167" s="34"/>
      <c r="H167" s="66">
        <v>0</v>
      </c>
      <c r="I167" s="66">
        <v>0</v>
      </c>
      <c r="J167" s="66">
        <v>0</v>
      </c>
      <c r="K167" s="86">
        <v>1</v>
      </c>
      <c r="L167" s="8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34"/>
      <c r="AA167" s="66">
        <v>1</v>
      </c>
      <c r="AB167" s="60">
        <v>-1</v>
      </c>
      <c r="AC167" s="34"/>
      <c r="AD167" s="66">
        <v>0</v>
      </c>
      <c r="AE167" s="60">
        <v>0</v>
      </c>
    </row>
    <row r="168" spans="1:31" ht="18" hidden="1" customHeight="1" outlineLevel="1" x14ac:dyDescent="0.2">
      <c r="A168" s="30" t="s">
        <v>172</v>
      </c>
      <c r="B168" s="30" t="s">
        <v>18</v>
      </c>
      <c r="C168" s="4">
        <v>0</v>
      </c>
      <c r="D168" s="4">
        <v>0</v>
      </c>
      <c r="F168" s="38" t="s">
        <v>173</v>
      </c>
      <c r="G168" s="34"/>
      <c r="H168" s="66">
        <v>0</v>
      </c>
      <c r="I168" s="66">
        <v>0</v>
      </c>
      <c r="J168" s="66">
        <v>0</v>
      </c>
      <c r="K168" s="86">
        <v>0</v>
      </c>
      <c r="L168" s="86">
        <v>0</v>
      </c>
      <c r="M168" s="66">
        <v>0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34"/>
      <c r="AA168" s="66">
        <v>0</v>
      </c>
      <c r="AB168" s="60">
        <v>0</v>
      </c>
      <c r="AC168" s="34"/>
      <c r="AD168" s="66">
        <v>0</v>
      </c>
      <c r="AE168" s="60">
        <v>0</v>
      </c>
    </row>
    <row r="169" spans="1:31" ht="18" hidden="1" customHeight="1" outlineLevel="1" x14ac:dyDescent="0.2">
      <c r="A169" s="30" t="s">
        <v>88</v>
      </c>
      <c r="B169" s="30" t="s">
        <v>18</v>
      </c>
      <c r="C169" s="4">
        <v>0</v>
      </c>
      <c r="D169" s="4">
        <v>0</v>
      </c>
      <c r="F169" s="38" t="s">
        <v>93</v>
      </c>
      <c r="G169" s="34"/>
      <c r="H169" s="66">
        <v>0</v>
      </c>
      <c r="I169" s="66">
        <v>0</v>
      </c>
      <c r="J169" s="66">
        <v>0</v>
      </c>
      <c r="K169" s="86">
        <v>0</v>
      </c>
      <c r="L169" s="8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34"/>
      <c r="AA169" s="66">
        <v>0</v>
      </c>
      <c r="AB169" s="60">
        <v>0</v>
      </c>
      <c r="AC169" s="34"/>
      <c r="AD169" s="66">
        <v>0</v>
      </c>
      <c r="AE169" s="60">
        <v>0</v>
      </c>
    </row>
    <row r="170" spans="1:31" ht="18" hidden="1" customHeight="1" outlineLevel="1" x14ac:dyDescent="0.2">
      <c r="A170" s="30" t="s">
        <v>174</v>
      </c>
      <c r="B170" s="30" t="s">
        <v>18</v>
      </c>
      <c r="C170" s="4">
        <v>0</v>
      </c>
      <c r="D170" s="4">
        <v>0</v>
      </c>
      <c r="F170" s="38" t="s">
        <v>175</v>
      </c>
      <c r="G170" s="34"/>
      <c r="H170" s="66">
        <v>0</v>
      </c>
      <c r="I170" s="66">
        <v>0</v>
      </c>
      <c r="J170" s="66">
        <v>0</v>
      </c>
      <c r="K170" s="86">
        <v>0</v>
      </c>
      <c r="L170" s="8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34"/>
      <c r="AA170" s="66">
        <v>0</v>
      </c>
      <c r="AB170" s="60">
        <v>0</v>
      </c>
      <c r="AC170" s="34"/>
      <c r="AD170" s="66">
        <v>0</v>
      </c>
      <c r="AE170" s="60">
        <v>0</v>
      </c>
    </row>
    <row r="171" spans="1:31" ht="18" hidden="1" customHeight="1" outlineLevel="1" x14ac:dyDescent="0.2">
      <c r="A171" s="30" t="s">
        <v>130</v>
      </c>
      <c r="B171" s="30" t="s">
        <v>18</v>
      </c>
      <c r="C171" s="4">
        <v>0.46333333333333332</v>
      </c>
      <c r="D171" s="4">
        <v>0.19500000000000001</v>
      </c>
      <c r="F171" s="38" t="s">
        <v>176</v>
      </c>
      <c r="G171" s="34"/>
      <c r="H171" s="66">
        <v>-1.395</v>
      </c>
      <c r="I171" s="66">
        <v>-2.6</v>
      </c>
      <c r="J171" s="66">
        <v>-2.6</v>
      </c>
      <c r="K171" s="86">
        <v>-3</v>
      </c>
      <c r="L171" s="86">
        <v>-2</v>
      </c>
      <c r="M171" s="66">
        <v>0</v>
      </c>
      <c r="N171" s="66">
        <v>0</v>
      </c>
      <c r="O171" s="66">
        <v>0</v>
      </c>
      <c r="P171" s="66">
        <v>-0.9</v>
      </c>
      <c r="Q171" s="66">
        <v>0</v>
      </c>
      <c r="R171" s="66">
        <v>0</v>
      </c>
      <c r="S171" s="66">
        <v>0</v>
      </c>
      <c r="T171" s="66">
        <v>0</v>
      </c>
      <c r="U171" s="66">
        <v>-0.71299999999999997</v>
      </c>
      <c r="V171" s="66">
        <v>0</v>
      </c>
      <c r="W171" s="66">
        <v>0</v>
      </c>
      <c r="X171" s="66">
        <v>0</v>
      </c>
      <c r="Y171" s="66">
        <v>-1.613</v>
      </c>
      <c r="Z171" s="34"/>
      <c r="AA171" s="66">
        <v>-3</v>
      </c>
      <c r="AB171" s="60">
        <v>1.39</v>
      </c>
      <c r="AC171" s="34"/>
      <c r="AD171" s="66">
        <v>-2</v>
      </c>
      <c r="AE171" s="60">
        <v>0.39</v>
      </c>
    </row>
    <row r="172" spans="1:31" ht="18" hidden="1" customHeight="1" outlineLevel="1" x14ac:dyDescent="0.2">
      <c r="A172" s="30" t="s">
        <v>177</v>
      </c>
      <c r="B172" s="30" t="s">
        <v>18</v>
      </c>
      <c r="C172" s="4">
        <v>0</v>
      </c>
      <c r="D172" s="4">
        <v>0</v>
      </c>
      <c r="F172" s="38" t="s">
        <v>178</v>
      </c>
      <c r="G172" s="34"/>
      <c r="H172" s="66">
        <v>-3.5999999999999997E-2</v>
      </c>
      <c r="I172" s="66">
        <v>0</v>
      </c>
      <c r="J172" s="66">
        <v>0</v>
      </c>
      <c r="K172" s="86">
        <v>0</v>
      </c>
      <c r="L172" s="8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34"/>
      <c r="AA172" s="66">
        <v>0</v>
      </c>
      <c r="AB172" s="60">
        <v>0</v>
      </c>
      <c r="AC172" s="34"/>
      <c r="AD172" s="66">
        <v>0</v>
      </c>
      <c r="AE172" s="60">
        <v>0</v>
      </c>
    </row>
    <row r="173" spans="1:31" ht="18" hidden="1" customHeight="1" outlineLevel="1" x14ac:dyDescent="0.2">
      <c r="A173" s="30" t="s">
        <v>179</v>
      </c>
      <c r="B173" s="30" t="s">
        <v>18</v>
      </c>
      <c r="C173" s="4">
        <v>0</v>
      </c>
      <c r="D173" s="4">
        <v>0</v>
      </c>
      <c r="F173" s="38" t="s">
        <v>180</v>
      </c>
      <c r="G173" s="34"/>
      <c r="H173" s="66">
        <v>0</v>
      </c>
      <c r="I173" s="66">
        <v>0</v>
      </c>
      <c r="J173" s="66">
        <v>0</v>
      </c>
      <c r="K173" s="86">
        <v>0</v>
      </c>
      <c r="L173" s="8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34"/>
      <c r="AA173" s="66">
        <v>0</v>
      </c>
      <c r="AB173" s="60">
        <v>0</v>
      </c>
      <c r="AC173" s="34"/>
      <c r="AD173" s="66">
        <v>0</v>
      </c>
      <c r="AE173" s="60">
        <v>0</v>
      </c>
    </row>
    <row r="174" spans="1:31" ht="18" hidden="1" customHeight="1" outlineLevel="1" x14ac:dyDescent="0.2">
      <c r="A174" s="30" t="s">
        <v>78</v>
      </c>
      <c r="B174" s="30" t="s">
        <v>18</v>
      </c>
      <c r="C174" s="4">
        <v>0</v>
      </c>
      <c r="D174" s="4">
        <v>0</v>
      </c>
      <c r="F174" s="38" t="s">
        <v>77</v>
      </c>
      <c r="G174" s="34"/>
      <c r="H174" s="66">
        <v>0</v>
      </c>
      <c r="I174" s="66">
        <v>0</v>
      </c>
      <c r="J174" s="66">
        <v>0</v>
      </c>
      <c r="K174" s="86">
        <v>0</v>
      </c>
      <c r="L174" s="8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34"/>
      <c r="AA174" s="66">
        <v>0</v>
      </c>
      <c r="AB174" s="60">
        <v>0</v>
      </c>
      <c r="AC174" s="34"/>
      <c r="AD174" s="66">
        <v>0</v>
      </c>
      <c r="AE174" s="60">
        <v>0</v>
      </c>
    </row>
    <row r="175" spans="1:31" ht="18" hidden="1" customHeight="1" outlineLevel="1" x14ac:dyDescent="0.2">
      <c r="A175" s="30" t="s">
        <v>193</v>
      </c>
      <c r="B175" s="30" t="s">
        <v>18</v>
      </c>
      <c r="C175" s="4">
        <v>0</v>
      </c>
      <c r="D175" s="4">
        <v>0</v>
      </c>
      <c r="F175" s="38" t="s">
        <v>268</v>
      </c>
      <c r="G175" s="34"/>
      <c r="H175" s="66">
        <v>0</v>
      </c>
      <c r="I175" s="66">
        <v>0</v>
      </c>
      <c r="J175" s="66">
        <v>0</v>
      </c>
      <c r="K175" s="86">
        <v>0</v>
      </c>
      <c r="L175" s="8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34"/>
      <c r="AA175" s="66">
        <v>0</v>
      </c>
      <c r="AB175" s="60">
        <v>0</v>
      </c>
      <c r="AC175" s="34"/>
      <c r="AD175" s="66">
        <v>0</v>
      </c>
      <c r="AE175" s="60">
        <v>0</v>
      </c>
    </row>
    <row r="176" spans="1:31" ht="18" hidden="1" customHeight="1" outlineLevel="1" x14ac:dyDescent="0.2">
      <c r="A176" s="30" t="s">
        <v>181</v>
      </c>
      <c r="B176" s="30" t="s">
        <v>18</v>
      </c>
      <c r="C176" s="4">
        <v>0</v>
      </c>
      <c r="D176" s="4">
        <v>0</v>
      </c>
      <c r="F176" s="38" t="s">
        <v>182</v>
      </c>
      <c r="G176" s="34"/>
      <c r="H176" s="66">
        <v>0</v>
      </c>
      <c r="I176" s="66">
        <v>0</v>
      </c>
      <c r="J176" s="66">
        <v>0</v>
      </c>
      <c r="K176" s="86">
        <v>0</v>
      </c>
      <c r="L176" s="8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34"/>
      <c r="AA176" s="66">
        <v>0</v>
      </c>
      <c r="AB176" s="60">
        <v>0</v>
      </c>
      <c r="AC176" s="34"/>
      <c r="AD176" s="66">
        <v>0</v>
      </c>
      <c r="AE176" s="60">
        <v>0</v>
      </c>
    </row>
    <row r="177" spans="1:31" ht="18" hidden="1" customHeight="1" outlineLevel="1" x14ac:dyDescent="0.2">
      <c r="A177" s="30" t="s">
        <v>90</v>
      </c>
      <c r="B177" s="30" t="s">
        <v>18</v>
      </c>
      <c r="C177" s="4">
        <v>0.56666666666666676</v>
      </c>
      <c r="D177" s="4">
        <v>0.13333333333333333</v>
      </c>
      <c r="F177" s="38" t="s">
        <v>95</v>
      </c>
      <c r="G177" s="34"/>
      <c r="H177" s="66">
        <v>0</v>
      </c>
      <c r="I177" s="66">
        <v>-0.3</v>
      </c>
      <c r="J177" s="66">
        <v>-0.3</v>
      </c>
      <c r="K177" s="86">
        <v>-0.3</v>
      </c>
      <c r="L177" s="86">
        <v>-0.15</v>
      </c>
      <c r="M177" s="66">
        <v>-0.13500000000000001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-0.13500000000000001</v>
      </c>
      <c r="Z177" s="34"/>
      <c r="AA177" s="66">
        <v>-0.3</v>
      </c>
      <c r="AB177" s="60">
        <v>0.17</v>
      </c>
      <c r="AC177" s="34"/>
      <c r="AD177" s="66">
        <v>-0.15</v>
      </c>
      <c r="AE177" s="60">
        <v>0.02</v>
      </c>
    </row>
    <row r="178" spans="1:31" ht="18" hidden="1" customHeight="1" outlineLevel="1" x14ac:dyDescent="0.2">
      <c r="A178" s="30" t="s">
        <v>127</v>
      </c>
      <c r="B178" s="30" t="s">
        <v>18</v>
      </c>
      <c r="C178" s="4">
        <v>0</v>
      </c>
      <c r="D178" s="4">
        <v>0</v>
      </c>
      <c r="F178" s="38" t="s">
        <v>128</v>
      </c>
      <c r="G178" s="34"/>
      <c r="H178" s="66">
        <v>0</v>
      </c>
      <c r="I178" s="66">
        <v>0</v>
      </c>
      <c r="J178" s="66">
        <v>0</v>
      </c>
      <c r="K178" s="86">
        <v>0</v>
      </c>
      <c r="L178" s="86">
        <v>0</v>
      </c>
      <c r="M178" s="66">
        <v>0</v>
      </c>
      <c r="N178" s="66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34"/>
      <c r="AA178" s="66">
        <v>0</v>
      </c>
      <c r="AB178" s="60">
        <v>0</v>
      </c>
      <c r="AC178" s="34"/>
      <c r="AD178" s="66">
        <v>0</v>
      </c>
      <c r="AE178" s="60">
        <v>0</v>
      </c>
    </row>
    <row r="179" spans="1:31" s="209" customFormat="1" ht="18" hidden="1" customHeight="1" outlineLevel="1" x14ac:dyDescent="0.2">
      <c r="A179" s="229" t="s">
        <v>261</v>
      </c>
      <c r="B179" s="210" t="s">
        <v>18</v>
      </c>
      <c r="C179" s="208">
        <v>0</v>
      </c>
      <c r="D179" s="208">
        <v>0</v>
      </c>
      <c r="F179" s="220" t="s">
        <v>262</v>
      </c>
      <c r="G179" s="211"/>
      <c r="H179" s="215">
        <v>0</v>
      </c>
      <c r="I179" s="215">
        <v>0</v>
      </c>
      <c r="J179" s="215">
        <v>0</v>
      </c>
      <c r="K179" s="216">
        <v>0</v>
      </c>
      <c r="L179" s="216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  <c r="R179" s="215">
        <v>0</v>
      </c>
      <c r="S179" s="215">
        <v>0</v>
      </c>
      <c r="T179" s="215">
        <v>0</v>
      </c>
      <c r="U179" s="215">
        <v>0</v>
      </c>
      <c r="V179" s="215">
        <v>0</v>
      </c>
      <c r="W179" s="215">
        <v>0</v>
      </c>
      <c r="X179" s="215">
        <v>0</v>
      </c>
      <c r="Y179" s="215">
        <v>0</v>
      </c>
      <c r="Z179" s="211"/>
      <c r="AA179" s="215">
        <v>0</v>
      </c>
      <c r="AB179" s="214">
        <v>0</v>
      </c>
      <c r="AC179" s="211"/>
      <c r="AD179" s="215">
        <v>0</v>
      </c>
      <c r="AE179" s="214">
        <v>0</v>
      </c>
    </row>
    <row r="180" spans="1:31" ht="18" hidden="1" customHeight="1" outlineLevel="1" x14ac:dyDescent="0.2">
      <c r="A180" s="30" t="s">
        <v>199</v>
      </c>
      <c r="B180" s="30" t="s">
        <v>18</v>
      </c>
      <c r="C180" s="4">
        <v>0</v>
      </c>
      <c r="D180" s="4">
        <v>0</v>
      </c>
      <c r="F180" s="38" t="s">
        <v>184</v>
      </c>
      <c r="G180" s="34"/>
      <c r="H180" s="66">
        <v>0</v>
      </c>
      <c r="I180" s="66">
        <v>0</v>
      </c>
      <c r="J180" s="66">
        <v>0</v>
      </c>
      <c r="K180" s="86">
        <v>0</v>
      </c>
      <c r="L180" s="8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34"/>
      <c r="AA180" s="66">
        <v>0</v>
      </c>
      <c r="AB180" s="60">
        <v>0</v>
      </c>
      <c r="AC180" s="34"/>
      <c r="AD180" s="66">
        <v>0</v>
      </c>
      <c r="AE180" s="60">
        <v>0</v>
      </c>
    </row>
    <row r="181" spans="1:31" ht="18" hidden="1" customHeight="1" outlineLevel="1" x14ac:dyDescent="0.2">
      <c r="A181" s="30" t="s">
        <v>263</v>
      </c>
      <c r="B181" s="30" t="s">
        <v>18</v>
      </c>
      <c r="C181" s="4">
        <v>0</v>
      </c>
      <c r="D181" s="4">
        <v>0</v>
      </c>
      <c r="F181" s="38" t="s">
        <v>273</v>
      </c>
      <c r="G181" s="34"/>
      <c r="H181" s="66">
        <v>0</v>
      </c>
      <c r="I181" s="66">
        <v>0</v>
      </c>
      <c r="J181" s="66">
        <v>0</v>
      </c>
      <c r="K181" s="86">
        <v>0</v>
      </c>
      <c r="L181" s="8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34"/>
      <c r="AA181" s="66">
        <v>0</v>
      </c>
      <c r="AB181" s="60">
        <v>0</v>
      </c>
      <c r="AC181" s="34"/>
      <c r="AD181" s="66">
        <v>0</v>
      </c>
      <c r="AE181" s="60">
        <v>0</v>
      </c>
    </row>
    <row r="182" spans="1:31" ht="18" hidden="1" customHeight="1" outlineLevel="1" x14ac:dyDescent="0.2">
      <c r="A182" s="30" t="s">
        <v>195</v>
      </c>
      <c r="B182" s="30" t="s">
        <v>18</v>
      </c>
      <c r="C182" s="4">
        <v>0</v>
      </c>
      <c r="D182" s="4">
        <v>0</v>
      </c>
      <c r="F182" s="38" t="s">
        <v>196</v>
      </c>
      <c r="G182" s="34"/>
      <c r="H182" s="66">
        <v>0</v>
      </c>
      <c r="I182" s="66">
        <v>0</v>
      </c>
      <c r="J182" s="66">
        <v>0</v>
      </c>
      <c r="K182" s="86">
        <v>0</v>
      </c>
      <c r="L182" s="8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34"/>
      <c r="AA182" s="66">
        <v>0</v>
      </c>
      <c r="AB182" s="60">
        <v>0</v>
      </c>
      <c r="AC182" s="34"/>
      <c r="AD182" s="66">
        <v>0</v>
      </c>
      <c r="AE182" s="60">
        <v>0</v>
      </c>
    </row>
    <row r="183" spans="1:31" ht="18" hidden="1" customHeight="1" outlineLevel="1" x14ac:dyDescent="0.2">
      <c r="A183" s="30" t="s">
        <v>197</v>
      </c>
      <c r="B183" s="30" t="s">
        <v>18</v>
      </c>
      <c r="C183" s="4">
        <v>0</v>
      </c>
      <c r="D183" s="4">
        <v>0</v>
      </c>
      <c r="F183" s="38" t="s">
        <v>267</v>
      </c>
      <c r="G183" s="34"/>
      <c r="H183" s="66">
        <v>0</v>
      </c>
      <c r="I183" s="66">
        <v>0</v>
      </c>
      <c r="J183" s="66">
        <v>0</v>
      </c>
      <c r="K183" s="86">
        <v>0</v>
      </c>
      <c r="L183" s="8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34"/>
      <c r="AA183" s="66">
        <v>0</v>
      </c>
      <c r="AB183" s="60">
        <v>0</v>
      </c>
      <c r="AC183" s="34"/>
      <c r="AD183" s="66">
        <v>0</v>
      </c>
      <c r="AE183" s="60">
        <v>0</v>
      </c>
    </row>
    <row r="184" spans="1:31" s="237" customFormat="1" ht="18" hidden="1" customHeight="1" outlineLevel="1" x14ac:dyDescent="0.2">
      <c r="A184" s="254" t="s">
        <v>445</v>
      </c>
      <c r="B184" s="238" t="s">
        <v>18</v>
      </c>
      <c r="C184" s="236">
        <v>-0.83333333333333337</v>
      </c>
      <c r="D184" s="236">
        <v>0.33333333333333337</v>
      </c>
      <c r="F184" s="245" t="s">
        <v>444</v>
      </c>
      <c r="G184" s="239"/>
      <c r="H184" s="241">
        <v>0</v>
      </c>
      <c r="I184" s="241">
        <v>0</v>
      </c>
      <c r="J184" s="241">
        <v>0</v>
      </c>
      <c r="K184" s="242">
        <v>0</v>
      </c>
      <c r="L184" s="242">
        <v>-0.03</v>
      </c>
      <c r="M184" s="241">
        <v>0</v>
      </c>
      <c r="N184" s="241">
        <v>0</v>
      </c>
      <c r="O184" s="241">
        <v>0</v>
      </c>
      <c r="P184" s="241">
        <v>0</v>
      </c>
      <c r="Q184" s="241">
        <v>0</v>
      </c>
      <c r="R184" s="241">
        <v>0</v>
      </c>
      <c r="S184" s="241">
        <v>0</v>
      </c>
      <c r="T184" s="241">
        <v>-2.4E-2</v>
      </c>
      <c r="U184" s="241">
        <v>0</v>
      </c>
      <c r="V184" s="241">
        <v>0</v>
      </c>
      <c r="W184" s="241">
        <v>0</v>
      </c>
      <c r="X184" s="241">
        <v>0</v>
      </c>
      <c r="Y184" s="241">
        <v>-2.4E-2</v>
      </c>
      <c r="Z184" s="239"/>
      <c r="AA184" s="241">
        <v>0</v>
      </c>
      <c r="AB184" s="240">
        <v>-0.02</v>
      </c>
      <c r="AC184" s="239"/>
      <c r="AD184" s="241">
        <v>-0.03</v>
      </c>
      <c r="AE184" s="240">
        <v>0.01</v>
      </c>
    </row>
    <row r="185" spans="1:31" ht="18" hidden="1" customHeight="1" outlineLevel="1" x14ac:dyDescent="0.2">
      <c r="A185" s="30" t="s">
        <v>257</v>
      </c>
      <c r="B185" s="30" t="s">
        <v>18</v>
      </c>
      <c r="C185" s="4">
        <v>0</v>
      </c>
      <c r="D185" s="4">
        <v>0</v>
      </c>
      <c r="F185" s="104" t="s">
        <v>260</v>
      </c>
      <c r="G185" s="36"/>
      <c r="H185" s="65">
        <v>0</v>
      </c>
      <c r="I185" s="65">
        <v>0</v>
      </c>
      <c r="J185" s="65">
        <v>0</v>
      </c>
      <c r="K185" s="90">
        <v>0</v>
      </c>
      <c r="L185" s="90">
        <v>0</v>
      </c>
      <c r="M185" s="65">
        <v>0</v>
      </c>
      <c r="N185" s="65">
        <v>0</v>
      </c>
      <c r="O185" s="65">
        <v>0</v>
      </c>
      <c r="P185" s="65">
        <v>0</v>
      </c>
      <c r="Q185" s="65">
        <v>0</v>
      </c>
      <c r="R185" s="65">
        <v>0</v>
      </c>
      <c r="S185" s="65">
        <v>0</v>
      </c>
      <c r="T185" s="65">
        <v>0</v>
      </c>
      <c r="U185" s="65">
        <v>0</v>
      </c>
      <c r="V185" s="65">
        <v>0</v>
      </c>
      <c r="W185" s="65">
        <v>0</v>
      </c>
      <c r="X185" s="65">
        <v>0</v>
      </c>
      <c r="Y185" s="65">
        <v>0</v>
      </c>
      <c r="Z185" s="36"/>
      <c r="AA185" s="65">
        <v>0</v>
      </c>
      <c r="AB185" s="60">
        <v>0</v>
      </c>
      <c r="AC185" s="36"/>
      <c r="AD185" s="65">
        <v>0</v>
      </c>
      <c r="AE185" s="60">
        <v>0</v>
      </c>
    </row>
    <row r="186" spans="1:31" ht="18" hidden="1" customHeight="1" outlineLevel="1" x14ac:dyDescent="0.2">
      <c r="A186" s="30" t="s">
        <v>200</v>
      </c>
      <c r="B186" s="30" t="s">
        <v>18</v>
      </c>
      <c r="C186" s="4">
        <v>0</v>
      </c>
      <c r="D186" s="4">
        <v>0</v>
      </c>
      <c r="F186" s="104" t="s">
        <v>183</v>
      </c>
      <c r="G186" s="36"/>
      <c r="H186" s="65">
        <v>-4.0000000000000001E-3</v>
      </c>
      <c r="I186" s="65">
        <v>2.5000000000000001E-2</v>
      </c>
      <c r="J186" s="65">
        <v>2.5000000000000001E-2</v>
      </c>
      <c r="K186" s="90">
        <v>0</v>
      </c>
      <c r="L186" s="90">
        <v>0</v>
      </c>
      <c r="M186" s="65">
        <v>0</v>
      </c>
      <c r="N186" s="65">
        <v>0</v>
      </c>
      <c r="O186" s="65">
        <v>0</v>
      </c>
      <c r="P186" s="65">
        <v>0</v>
      </c>
      <c r="Q186" s="65">
        <v>0</v>
      </c>
      <c r="R186" s="65">
        <v>0</v>
      </c>
      <c r="S186" s="65">
        <v>0</v>
      </c>
      <c r="T186" s="65">
        <v>0</v>
      </c>
      <c r="U186" s="65">
        <v>0</v>
      </c>
      <c r="V186" s="65">
        <v>0</v>
      </c>
      <c r="W186" s="65">
        <v>0</v>
      </c>
      <c r="X186" s="65">
        <v>0</v>
      </c>
      <c r="Y186" s="65">
        <v>0</v>
      </c>
      <c r="Z186" s="36"/>
      <c r="AA186" s="65">
        <v>0</v>
      </c>
      <c r="AB186" s="60">
        <v>0</v>
      </c>
      <c r="AC186" s="36"/>
      <c r="AD186" s="65">
        <v>0</v>
      </c>
      <c r="AE186" s="60">
        <v>0</v>
      </c>
    </row>
    <row r="187" spans="1:31" ht="18" hidden="1" customHeight="1" outlineLevel="1" x14ac:dyDescent="0.2">
      <c r="A187" s="30" t="s">
        <v>256</v>
      </c>
      <c r="B187" s="30" t="s">
        <v>18</v>
      </c>
      <c r="C187" s="4">
        <v>0</v>
      </c>
      <c r="D187" s="4">
        <v>0</v>
      </c>
      <c r="F187" s="104" t="s">
        <v>259</v>
      </c>
      <c r="G187" s="36"/>
      <c r="H187" s="65">
        <v>0</v>
      </c>
      <c r="I187" s="65">
        <v>-0.79700000000000004</v>
      </c>
      <c r="J187" s="65">
        <v>-0.79700000000000004</v>
      </c>
      <c r="K187" s="90">
        <v>0</v>
      </c>
      <c r="L187" s="90">
        <v>0</v>
      </c>
      <c r="M187" s="65">
        <v>0</v>
      </c>
      <c r="N187" s="65">
        <v>0</v>
      </c>
      <c r="O187" s="65">
        <v>0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36"/>
      <c r="AA187" s="65">
        <v>0</v>
      </c>
      <c r="AB187" s="60">
        <v>0</v>
      </c>
      <c r="AC187" s="36"/>
      <c r="AD187" s="65">
        <v>0</v>
      </c>
      <c r="AE187" s="60">
        <v>0</v>
      </c>
    </row>
    <row r="188" spans="1:31" ht="18" hidden="1" customHeight="1" outlineLevel="1" x14ac:dyDescent="0.2">
      <c r="A188" s="30" t="s">
        <v>185</v>
      </c>
      <c r="B188" s="30" t="s">
        <v>18</v>
      </c>
      <c r="C188" s="4">
        <v>0</v>
      </c>
      <c r="D188" s="4">
        <v>0</v>
      </c>
      <c r="F188" s="38" t="s">
        <v>186</v>
      </c>
      <c r="G188" s="34"/>
      <c r="H188" s="66">
        <v>0</v>
      </c>
      <c r="I188" s="66">
        <v>0</v>
      </c>
      <c r="J188" s="66">
        <v>0</v>
      </c>
      <c r="K188" s="86">
        <v>0</v>
      </c>
      <c r="L188" s="86">
        <v>0</v>
      </c>
      <c r="M188" s="66">
        <v>0</v>
      </c>
      <c r="N188" s="66">
        <v>0</v>
      </c>
      <c r="O188" s="66">
        <v>0</v>
      </c>
      <c r="P188" s="66">
        <v>0</v>
      </c>
      <c r="Q188" s="66">
        <v>0</v>
      </c>
      <c r="R188" s="66">
        <v>0</v>
      </c>
      <c r="S188" s="66">
        <v>0</v>
      </c>
      <c r="T188" s="66">
        <v>0</v>
      </c>
      <c r="U188" s="66">
        <v>0</v>
      </c>
      <c r="V188" s="66">
        <v>0</v>
      </c>
      <c r="W188" s="66">
        <v>0</v>
      </c>
      <c r="X188" s="66">
        <v>0</v>
      </c>
      <c r="Y188" s="66">
        <v>0</v>
      </c>
      <c r="Z188" s="34"/>
      <c r="AA188" s="66">
        <v>0</v>
      </c>
      <c r="AB188" s="60">
        <v>0</v>
      </c>
      <c r="AC188" s="34"/>
      <c r="AD188" s="66">
        <v>0</v>
      </c>
      <c r="AE188" s="60">
        <v>0</v>
      </c>
    </row>
    <row r="189" spans="1:31" ht="18" customHeight="1" collapsed="1" x14ac:dyDescent="0.2">
      <c r="A189" s="35"/>
      <c r="B189" s="35"/>
      <c r="C189" s="4">
        <v>0.23043478260869568</v>
      </c>
      <c r="D189" s="4">
        <v>0.18807339449541285</v>
      </c>
      <c r="F189" s="106" t="s">
        <v>188</v>
      </c>
      <c r="H189" s="61">
        <v>-1.4350000000000001</v>
      </c>
      <c r="I189" s="61">
        <v>-3.6720000000000002</v>
      </c>
      <c r="J189" s="61">
        <v>-3.6720000000000002</v>
      </c>
      <c r="K189" s="86">
        <v>-2.2999999999999998</v>
      </c>
      <c r="L189" s="86">
        <v>-2.1799999999999997</v>
      </c>
      <c r="M189" s="61">
        <v>-0.13500000000000001</v>
      </c>
      <c r="N189" s="61">
        <v>0</v>
      </c>
      <c r="O189" s="61">
        <v>0</v>
      </c>
      <c r="P189" s="61">
        <v>-0.9</v>
      </c>
      <c r="Q189" s="61">
        <v>0</v>
      </c>
      <c r="R189" s="61">
        <v>0</v>
      </c>
      <c r="S189" s="61">
        <v>0</v>
      </c>
      <c r="T189" s="61">
        <v>-2.4E-2</v>
      </c>
      <c r="U189" s="61">
        <v>-0.71299999999999997</v>
      </c>
      <c r="V189" s="61">
        <v>0</v>
      </c>
      <c r="W189" s="61">
        <v>0</v>
      </c>
      <c r="X189" s="61">
        <v>0</v>
      </c>
      <c r="Y189" s="61">
        <v>-1.772</v>
      </c>
      <c r="AA189" s="61">
        <v>-2.2999999999999998</v>
      </c>
      <c r="AB189" s="60">
        <v>0.53</v>
      </c>
      <c r="AD189" s="61">
        <v>-2.1799999999999997</v>
      </c>
      <c r="AE189" s="60">
        <v>0.41</v>
      </c>
    </row>
    <row r="190" spans="1:31" ht="18" customHeight="1" x14ac:dyDescent="0.2">
      <c r="A190" s="35"/>
      <c r="B190" s="35"/>
      <c r="C190" s="4">
        <v>0.2127394098197018</v>
      </c>
      <c r="D190" s="4">
        <v>5.8219817130061587E-2</v>
      </c>
      <c r="F190" s="95" t="s">
        <v>87</v>
      </c>
      <c r="H190" s="64">
        <v>-22.348999999999997</v>
      </c>
      <c r="I190" s="64">
        <v>-53.364999999999995</v>
      </c>
      <c r="J190" s="64">
        <v>-53.364999999999995</v>
      </c>
      <c r="K190" s="89">
        <v>-64.116</v>
      </c>
      <c r="L190" s="89">
        <v>-53.589999999999996</v>
      </c>
      <c r="M190" s="64">
        <v>-2.9550000000000001</v>
      </c>
      <c r="N190" s="64">
        <v>-3.9979999999999998</v>
      </c>
      <c r="O190" s="64">
        <v>-4.346000000000001</v>
      </c>
      <c r="P190" s="64">
        <v>-3.5069999999999992</v>
      </c>
      <c r="Q190" s="64">
        <v>-3.65</v>
      </c>
      <c r="R190" s="64">
        <v>-4.2680000000000007</v>
      </c>
      <c r="S190" s="64">
        <v>-4.0689999999999982</v>
      </c>
      <c r="T190" s="64">
        <v>-5.242</v>
      </c>
      <c r="U190" s="64">
        <v>-8.4759999999999991</v>
      </c>
      <c r="V190" s="64">
        <v>-2.7470000000000034</v>
      </c>
      <c r="W190" s="64">
        <v>-2.573999999999995</v>
      </c>
      <c r="X190" s="64">
        <v>-4.6419999999999995</v>
      </c>
      <c r="Y190" s="64">
        <v>-50.473999999999997</v>
      </c>
      <c r="AA190" s="64">
        <v>-64.116</v>
      </c>
      <c r="AB190" s="60">
        <v>13.64</v>
      </c>
      <c r="AD190" s="64">
        <v>-53.589999999999996</v>
      </c>
      <c r="AE190" s="60">
        <v>3.12</v>
      </c>
    </row>
    <row r="191" spans="1:31" ht="12.95" customHeight="1" x14ac:dyDescent="0.2">
      <c r="A191" s="35"/>
      <c r="B191" s="35"/>
      <c r="C191" s="4"/>
      <c r="D191" s="4"/>
      <c r="F191" s="39" t="s">
        <v>223</v>
      </c>
      <c r="H191" s="56">
        <v>3.5439905819191616E-3</v>
      </c>
      <c r="I191" s="56">
        <v>7.9467143504273925E-3</v>
      </c>
      <c r="J191" s="56">
        <v>7.9467143504273925E-3</v>
      </c>
      <c r="K191" s="109">
        <v>1.0010268503329339E-2</v>
      </c>
      <c r="L191" s="109">
        <v>8.3886432265736673E-3</v>
      </c>
      <c r="M191" s="56">
        <v>5.6607677188734405E-3</v>
      </c>
      <c r="N191" s="56">
        <v>6.9667953264269467E-3</v>
      </c>
      <c r="O191" s="56">
        <v>8.2388157034178032E-3</v>
      </c>
      <c r="P191" s="56">
        <v>5.5394092560416977E-3</v>
      </c>
      <c r="Q191" s="56">
        <v>6.7824955867323228E-3</v>
      </c>
      <c r="R191" s="56">
        <v>7.6365653348601722E-3</v>
      </c>
      <c r="S191" s="56">
        <v>7.9418366351127079E-3</v>
      </c>
      <c r="T191" s="56">
        <v>9.9072775587500488E-3</v>
      </c>
      <c r="U191" s="56">
        <v>1.5526596348795212E-2</v>
      </c>
      <c r="V191" s="56">
        <v>5.4365250570963756E-3</v>
      </c>
      <c r="W191" s="56">
        <v>4.4169732579210329E-3</v>
      </c>
      <c r="X191" s="56">
        <v>7.9317480089467051E-3</v>
      </c>
      <c r="Y191" s="56">
        <v>7.6312022038774073E-3</v>
      </c>
      <c r="AA191" s="56">
        <v>1.0010268503329339E-2</v>
      </c>
      <c r="AB191" s="57"/>
      <c r="AD191" s="56">
        <v>8.3886432265736673E-3</v>
      </c>
      <c r="AE191" s="57"/>
    </row>
    <row r="192" spans="1:31" ht="6.95" customHeight="1" x14ac:dyDescent="0.2">
      <c r="C192" s="4"/>
      <c r="D192" s="4"/>
      <c r="F192" s="96"/>
      <c r="H192" s="16"/>
      <c r="I192" s="16"/>
      <c r="J192" s="16"/>
      <c r="K192" s="85"/>
      <c r="L192" s="85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AA192" s="16"/>
      <c r="AB192" s="20"/>
      <c r="AD192" s="16"/>
      <c r="AE192" s="20"/>
    </row>
    <row r="193" spans="1:31" s="40" customFormat="1" ht="18" customHeight="1" x14ac:dyDescent="0.2">
      <c r="A193" s="35"/>
      <c r="B193" s="35"/>
      <c r="C193" s="4">
        <v>-1.0676566727562689E-2</v>
      </c>
      <c r="D193" s="4">
        <v>-2.3826301408928774E-2</v>
      </c>
      <c r="E193" s="8"/>
      <c r="F193" s="100" t="s">
        <v>277</v>
      </c>
      <c r="G193" s="8"/>
      <c r="H193" s="62">
        <v>-4577.8359999999993</v>
      </c>
      <c r="I193" s="62">
        <v>-4510.4809999999998</v>
      </c>
      <c r="J193" s="62">
        <v>-4510.4809999999998</v>
      </c>
      <c r="K193" s="108">
        <v>-4462.1085800000001</v>
      </c>
      <c r="L193" s="108">
        <v>-4404.79612</v>
      </c>
      <c r="M193" s="62">
        <v>-397.63400000000007</v>
      </c>
      <c r="N193" s="62">
        <v>-361.55</v>
      </c>
      <c r="O193" s="62">
        <v>-424.52300000000002</v>
      </c>
      <c r="P193" s="62">
        <v>-385.60900000000004</v>
      </c>
      <c r="Q193" s="62">
        <v>-316.62399999999991</v>
      </c>
      <c r="R193" s="62">
        <v>-415.17900000000009</v>
      </c>
      <c r="S193" s="62">
        <v>-386.07399999999984</v>
      </c>
      <c r="T193" s="62">
        <v>-315.50200000000018</v>
      </c>
      <c r="U193" s="62">
        <v>-382.76400000000001</v>
      </c>
      <c r="V193" s="62">
        <v>-341.15800000000002</v>
      </c>
      <c r="W193" s="62">
        <v>-395.29500000000024</v>
      </c>
      <c r="X193" s="62">
        <v>-387.83699999999959</v>
      </c>
      <c r="Y193" s="62">
        <v>-4509.7490000000007</v>
      </c>
      <c r="Z193" s="8"/>
      <c r="AA193" s="62">
        <v>-4462.1085800000001</v>
      </c>
      <c r="AB193" s="60">
        <v>-47.64</v>
      </c>
      <c r="AC193" s="8"/>
      <c r="AD193" s="62">
        <v>-4404.79612</v>
      </c>
      <c r="AE193" s="60">
        <v>-104.95</v>
      </c>
    </row>
    <row r="194" spans="1:31" ht="12.95" customHeight="1" x14ac:dyDescent="0.2">
      <c r="A194" s="35"/>
      <c r="B194" s="35"/>
      <c r="C194" s="4"/>
      <c r="D194" s="4"/>
      <c r="F194" s="39" t="s">
        <v>223</v>
      </c>
      <c r="H194" s="56">
        <v>0.72592991496579207</v>
      </c>
      <c r="I194" s="56">
        <v>0.67166689946650615</v>
      </c>
      <c r="J194" s="56">
        <v>0.67166689946650615</v>
      </c>
      <c r="K194" s="109">
        <v>0.69665769818469037</v>
      </c>
      <c r="L194" s="109">
        <v>0.68949921881836118</v>
      </c>
      <c r="M194" s="56">
        <v>0.76173052830000743</v>
      </c>
      <c r="N194" s="56">
        <v>0.63002622568025579</v>
      </c>
      <c r="O194" s="56">
        <v>0.8047783614500772</v>
      </c>
      <c r="P194" s="56">
        <v>0.60908071394724372</v>
      </c>
      <c r="Q194" s="56">
        <v>0.5883564062064478</v>
      </c>
      <c r="R194" s="56">
        <v>0.74286353307448727</v>
      </c>
      <c r="S194" s="56">
        <v>0.7535356689762851</v>
      </c>
      <c r="T194" s="56">
        <v>0.59629261433436853</v>
      </c>
      <c r="U194" s="56">
        <v>0.70115881605123309</v>
      </c>
      <c r="V194" s="56">
        <v>0.67517801799376886</v>
      </c>
      <c r="W194" s="56">
        <v>0.6783245703146461</v>
      </c>
      <c r="X194" s="56">
        <v>0.66269395789441199</v>
      </c>
      <c r="Y194" s="56">
        <v>0.68183235938768361</v>
      </c>
      <c r="AA194" s="56">
        <v>0.69665769818469037</v>
      </c>
      <c r="AB194" s="57"/>
      <c r="AD194" s="56">
        <v>0.68949921881836118</v>
      </c>
      <c r="AE194" s="57"/>
    </row>
    <row r="195" spans="1:31" ht="6.95" customHeight="1" x14ac:dyDescent="0.2">
      <c r="C195" s="4"/>
      <c r="D195" s="4"/>
      <c r="F195" s="96"/>
      <c r="H195" s="16"/>
      <c r="I195" s="16"/>
      <c r="J195" s="16"/>
      <c r="K195" s="85"/>
      <c r="L195" s="85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AA195" s="16"/>
      <c r="AB195" s="20"/>
      <c r="AD195" s="16"/>
      <c r="AE195" s="20"/>
    </row>
    <row r="196" spans="1:31" ht="18" customHeight="1" x14ac:dyDescent="0.2">
      <c r="A196" s="35"/>
      <c r="B196" s="35"/>
      <c r="C196" s="4">
        <v>0.10188641894392746</v>
      </c>
      <c r="D196" s="4">
        <v>5.9813373425589914E-2</v>
      </c>
      <c r="F196" s="101" t="s">
        <v>278</v>
      </c>
      <c r="H196" s="77">
        <v>1593.4740000000011</v>
      </c>
      <c r="I196" s="77">
        <v>2087.6050000000005</v>
      </c>
      <c r="J196" s="77">
        <v>2087.6050000000005</v>
      </c>
      <c r="K196" s="114">
        <v>1912.9144200000001</v>
      </c>
      <c r="L196" s="114">
        <v>1988.8528800000004</v>
      </c>
      <c r="M196" s="77">
        <v>152.52899999999994</v>
      </c>
      <c r="N196" s="77">
        <v>176.44099999999997</v>
      </c>
      <c r="O196" s="77">
        <v>137.19099999999992</v>
      </c>
      <c r="P196" s="77">
        <v>229.31200000000001</v>
      </c>
      <c r="Q196" s="77">
        <v>219.48100000000022</v>
      </c>
      <c r="R196" s="77">
        <v>150.45099999999979</v>
      </c>
      <c r="S196" s="77">
        <v>109.48500000000041</v>
      </c>
      <c r="T196" s="77">
        <v>209.83599999999944</v>
      </c>
      <c r="U196" s="77">
        <v>174.40899999999965</v>
      </c>
      <c r="V196" s="77">
        <v>162.58500000000072</v>
      </c>
      <c r="W196" s="77">
        <v>186.5979999999991</v>
      </c>
      <c r="X196" s="77">
        <v>199.49900000000076</v>
      </c>
      <c r="Y196" s="77">
        <v>2107.817</v>
      </c>
      <c r="AA196" s="77">
        <v>1912.9144200000001</v>
      </c>
      <c r="AB196" s="60">
        <v>194.9</v>
      </c>
      <c r="AD196" s="77">
        <v>1988.8528800000004</v>
      </c>
      <c r="AE196" s="60">
        <v>118.96</v>
      </c>
    </row>
    <row r="197" spans="1:31" ht="12.95" customHeight="1" x14ac:dyDescent="0.2">
      <c r="A197" s="35"/>
      <c r="B197" s="35"/>
      <c r="C197" s="4"/>
      <c r="D197" s="4"/>
      <c r="F197" s="39" t="s">
        <v>223</v>
      </c>
      <c r="H197" s="56">
        <v>0.25268499031424485</v>
      </c>
      <c r="I197" s="56">
        <v>0.3108704321469874</v>
      </c>
      <c r="J197" s="56">
        <v>0.3108704321469874</v>
      </c>
      <c r="K197" s="109">
        <v>0.29865847788524724</v>
      </c>
      <c r="L197" s="109">
        <v>0.31132258332643287</v>
      </c>
      <c r="M197" s="56">
        <v>0.29219331282302763</v>
      </c>
      <c r="N197" s="56">
        <v>0.30746081395450142</v>
      </c>
      <c r="O197" s="56">
        <v>0.2600762460118709</v>
      </c>
      <c r="P197" s="56">
        <v>0.36220502290317486</v>
      </c>
      <c r="Q197" s="56">
        <v>0.40784353804701323</v>
      </c>
      <c r="R197" s="56">
        <v>0.26919608509724602</v>
      </c>
      <c r="S197" s="56">
        <v>0.21369181223772882</v>
      </c>
      <c r="T197" s="56">
        <v>0.39658593930138686</v>
      </c>
      <c r="U197" s="56">
        <v>0.31948774688497156</v>
      </c>
      <c r="V197" s="56">
        <v>0.32176826589298035</v>
      </c>
      <c r="W197" s="56">
        <v>0.32020138927022007</v>
      </c>
      <c r="X197" s="56">
        <v>0.34088233434658871</v>
      </c>
      <c r="Y197" s="56">
        <v>0.31868244513552058</v>
      </c>
      <c r="AA197" s="56">
        <v>0.29865847788524724</v>
      </c>
      <c r="AB197" s="57"/>
      <c r="AD197" s="56">
        <v>0.31132258332643287</v>
      </c>
      <c r="AE197" s="57"/>
    </row>
    <row r="198" spans="1:31" ht="6.95" customHeight="1" x14ac:dyDescent="0.2">
      <c r="C198" s="4"/>
      <c r="D198" s="4"/>
      <c r="F198" s="96"/>
      <c r="H198" s="16"/>
      <c r="I198" s="16"/>
      <c r="J198" s="16"/>
      <c r="K198" s="85"/>
      <c r="L198" s="85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AA198" s="16"/>
      <c r="AB198" s="20"/>
      <c r="AD198" s="16"/>
      <c r="AE198" s="20"/>
    </row>
    <row r="199" spans="1:31" ht="18" hidden="1" customHeight="1" outlineLevel="1" x14ac:dyDescent="0.2">
      <c r="A199" s="30" t="s">
        <v>36</v>
      </c>
      <c r="B199" s="30" t="s">
        <v>243</v>
      </c>
      <c r="C199" s="4"/>
      <c r="D199" s="4"/>
      <c r="F199" s="51" t="s">
        <v>246</v>
      </c>
      <c r="G199" s="34"/>
      <c r="H199" s="72">
        <v>0.99</v>
      </c>
      <c r="I199" s="72">
        <v>0.996</v>
      </c>
      <c r="J199" s="72">
        <v>0.996</v>
      </c>
      <c r="K199" s="111">
        <v>1</v>
      </c>
      <c r="L199" s="111">
        <v>0.95099999999999996</v>
      </c>
      <c r="M199" s="72">
        <v>0.996</v>
      </c>
      <c r="N199" s="72">
        <v>0.996</v>
      </c>
      <c r="O199" s="72">
        <v>0.996</v>
      </c>
      <c r="P199" s="72">
        <v>0.44399999999999951</v>
      </c>
      <c r="Q199" s="72">
        <v>0.99600000000000044</v>
      </c>
      <c r="R199" s="72">
        <v>0.99600000000000044</v>
      </c>
      <c r="S199" s="72">
        <v>0.99599999999999955</v>
      </c>
      <c r="T199" s="72">
        <v>0.99600000000000044</v>
      </c>
      <c r="U199" s="72">
        <v>0.99599999999999866</v>
      </c>
      <c r="V199" s="72">
        <v>0.99600000000000222</v>
      </c>
      <c r="W199" s="72">
        <v>0.99599999999999866</v>
      </c>
      <c r="X199" s="72">
        <v>0.99599999999999866</v>
      </c>
      <c r="Y199" s="72">
        <v>0.94999999999999984</v>
      </c>
      <c r="Z199" s="34"/>
      <c r="AA199" s="72">
        <v>1</v>
      </c>
      <c r="AB199" s="73">
        <v>-0.05</v>
      </c>
      <c r="AC199" s="34"/>
      <c r="AD199" s="72">
        <v>0.95099999999999996</v>
      </c>
      <c r="AE199" s="73">
        <v>0</v>
      </c>
    </row>
    <row r="200" spans="1:31" ht="18" hidden="1" customHeight="1" outlineLevel="1" x14ac:dyDescent="0.2">
      <c r="A200" s="30" t="s">
        <v>36</v>
      </c>
      <c r="B200" s="30" t="s">
        <v>244</v>
      </c>
      <c r="C200" s="4"/>
      <c r="D200" s="4"/>
      <c r="F200" s="51" t="s">
        <v>247</v>
      </c>
      <c r="G200" s="34"/>
      <c r="H200" s="72">
        <v>1</v>
      </c>
      <c r="I200" s="72">
        <v>0.98899999999999999</v>
      </c>
      <c r="J200" s="72">
        <v>0.98899999999999999</v>
      </c>
      <c r="K200" s="111">
        <v>1</v>
      </c>
      <c r="L200" s="111">
        <v>1</v>
      </c>
      <c r="M200" s="72">
        <v>0.996</v>
      </c>
      <c r="N200" s="72">
        <v>0.996</v>
      </c>
      <c r="O200" s="72">
        <v>0.996</v>
      </c>
      <c r="P200" s="72">
        <v>0.996</v>
      </c>
      <c r="Q200" s="72">
        <v>0.99599999999999955</v>
      </c>
      <c r="R200" s="72">
        <v>0.99600000000000044</v>
      </c>
      <c r="S200" s="72">
        <v>0.99599999999999955</v>
      </c>
      <c r="T200" s="72">
        <v>0.99600000000000044</v>
      </c>
      <c r="U200" s="72">
        <v>0.99600000000000044</v>
      </c>
      <c r="V200" s="72">
        <v>0.99599999999999866</v>
      </c>
      <c r="W200" s="72">
        <v>0.99600000000000044</v>
      </c>
      <c r="X200" s="72">
        <v>0.99600000000000044</v>
      </c>
      <c r="Y200" s="72">
        <v>0.996</v>
      </c>
      <c r="Z200" s="34"/>
      <c r="AA200" s="72">
        <v>1</v>
      </c>
      <c r="AB200" s="73">
        <v>0</v>
      </c>
      <c r="AC200" s="34"/>
      <c r="AD200" s="72">
        <v>1</v>
      </c>
      <c r="AE200" s="73">
        <v>0</v>
      </c>
    </row>
    <row r="201" spans="1:31" ht="18" hidden="1" customHeight="1" outlineLevel="1" x14ac:dyDescent="0.2">
      <c r="A201" s="30" t="s">
        <v>36</v>
      </c>
      <c r="B201" s="30" t="s">
        <v>245</v>
      </c>
      <c r="C201" s="4"/>
      <c r="D201" s="4"/>
      <c r="F201" s="51" t="s">
        <v>248</v>
      </c>
      <c r="G201" s="34"/>
      <c r="H201" s="72">
        <v>3.86</v>
      </c>
      <c r="I201" s="72">
        <v>4.5</v>
      </c>
      <c r="J201" s="72">
        <v>4.5</v>
      </c>
      <c r="K201" s="111">
        <v>6</v>
      </c>
      <c r="L201" s="111">
        <v>5.798</v>
      </c>
      <c r="M201" s="72">
        <v>3.984</v>
      </c>
      <c r="N201" s="72">
        <v>3.9359999999999999</v>
      </c>
      <c r="O201" s="72">
        <v>4.9079999999999995</v>
      </c>
      <c r="P201" s="72">
        <v>4.9800000000000004</v>
      </c>
      <c r="Q201" s="72">
        <v>4.8960000000000008</v>
      </c>
      <c r="R201" s="72">
        <v>4.3320000000000007</v>
      </c>
      <c r="S201" s="72">
        <v>3.9839999999999982</v>
      </c>
      <c r="T201" s="72">
        <v>3.9000000000000021</v>
      </c>
      <c r="U201" s="72">
        <v>3.9359999999999999</v>
      </c>
      <c r="V201" s="72">
        <v>4.4879999999999995</v>
      </c>
      <c r="W201" s="72">
        <v>4.9799999999999969</v>
      </c>
      <c r="X201" s="72">
        <v>4.3919999999999959</v>
      </c>
      <c r="Y201" s="72">
        <v>4.3929999999999998</v>
      </c>
      <c r="Z201" s="34"/>
      <c r="AA201" s="72">
        <v>6</v>
      </c>
      <c r="AB201" s="73">
        <v>-1.61</v>
      </c>
      <c r="AC201" s="34"/>
      <c r="AD201" s="72">
        <v>5.798</v>
      </c>
      <c r="AE201" s="73">
        <v>-1.41</v>
      </c>
    </row>
    <row r="202" spans="1:31" ht="18" customHeight="1" collapsed="1" x14ac:dyDescent="0.2">
      <c r="A202" s="30" t="s">
        <v>36</v>
      </c>
      <c r="B202" s="30" t="s">
        <v>22</v>
      </c>
      <c r="C202" s="4"/>
      <c r="D202" s="4"/>
      <c r="F202" s="97" t="s">
        <v>250</v>
      </c>
      <c r="H202" s="74">
        <v>5.85</v>
      </c>
      <c r="I202" s="74">
        <v>6.4850000000000003</v>
      </c>
      <c r="J202" s="74">
        <v>6.4850000000000003</v>
      </c>
      <c r="K202" s="112">
        <v>8</v>
      </c>
      <c r="L202" s="112">
        <v>7.7489999999999997</v>
      </c>
      <c r="M202" s="74">
        <v>5.976</v>
      </c>
      <c r="N202" s="74">
        <v>5.9279999999999999</v>
      </c>
      <c r="O202" s="74">
        <v>6.8999999999999986</v>
      </c>
      <c r="P202" s="74">
        <v>6.4199999999999982</v>
      </c>
      <c r="Q202" s="74">
        <v>6.8880000000000052</v>
      </c>
      <c r="R202" s="74">
        <v>6.3239999999999981</v>
      </c>
      <c r="S202" s="74">
        <v>5.9759999999999991</v>
      </c>
      <c r="T202" s="74">
        <v>5.892000000000003</v>
      </c>
      <c r="U202" s="74">
        <v>5.9279999999999973</v>
      </c>
      <c r="V202" s="74">
        <v>6.480000000000004</v>
      </c>
      <c r="W202" s="74">
        <v>6.9719999999999942</v>
      </c>
      <c r="X202" s="74">
        <v>6.3840000000000146</v>
      </c>
      <c r="Y202" s="74">
        <v>6.3390000000000013</v>
      </c>
      <c r="AA202" s="74">
        <v>8</v>
      </c>
      <c r="AB202" s="73">
        <v>-1.66</v>
      </c>
      <c r="AD202" s="74">
        <v>7.7489999999999997</v>
      </c>
      <c r="AE202" s="73">
        <v>-1.41</v>
      </c>
    </row>
    <row r="203" spans="1:31" ht="18" hidden="1" customHeight="1" outlineLevel="1" collapsed="1" x14ac:dyDescent="0.2">
      <c r="A203" s="33" t="s">
        <v>211</v>
      </c>
      <c r="B203" s="33" t="s">
        <v>22</v>
      </c>
      <c r="C203" s="4"/>
      <c r="D203" s="4"/>
      <c r="F203" s="98" t="s">
        <v>212</v>
      </c>
      <c r="G203" s="34"/>
      <c r="H203" s="75">
        <v>5.9029999999999996</v>
      </c>
      <c r="I203" s="75">
        <v>6.8540000000000001</v>
      </c>
      <c r="J203" s="75">
        <v>6.8540000000000001</v>
      </c>
      <c r="K203" s="112">
        <v>8</v>
      </c>
      <c r="L203" s="112">
        <v>7.7489999999999997</v>
      </c>
      <c r="M203" s="75">
        <v>5.976</v>
      </c>
      <c r="N203" s="75">
        <v>6.0480000000000009</v>
      </c>
      <c r="O203" s="75">
        <v>6.8999999999999986</v>
      </c>
      <c r="P203" s="75">
        <v>6.9720000000000013</v>
      </c>
      <c r="Q203" s="75">
        <v>7.0559999999999974</v>
      </c>
      <c r="R203" s="75">
        <v>6.9720000000000013</v>
      </c>
      <c r="S203" s="75">
        <v>6.9720000000000013</v>
      </c>
      <c r="T203" s="75">
        <v>7.0560000000000045</v>
      </c>
      <c r="U203" s="75">
        <v>6.1439999999999984</v>
      </c>
      <c r="V203" s="75">
        <v>6.4799999999999898</v>
      </c>
      <c r="W203" s="75">
        <v>7.0560000000000116</v>
      </c>
      <c r="X203" s="75">
        <v>6.9719999999999942</v>
      </c>
      <c r="Y203" s="75">
        <v>6.7169999999999996</v>
      </c>
      <c r="Z203" s="34"/>
      <c r="AA203" s="75">
        <v>8</v>
      </c>
      <c r="AB203" s="76">
        <v>-1.28</v>
      </c>
      <c r="AC203" s="34"/>
      <c r="AD203" s="75">
        <v>7.7489999999999997</v>
      </c>
      <c r="AE203" s="76">
        <v>-1.03</v>
      </c>
    </row>
    <row r="204" spans="1:31" ht="18" hidden="1" customHeight="1" outlineLevel="1" collapsed="1" x14ac:dyDescent="0.2">
      <c r="A204" s="35"/>
      <c r="B204" s="35"/>
      <c r="C204" s="4"/>
      <c r="D204" s="4"/>
      <c r="F204" s="97" t="s">
        <v>251</v>
      </c>
      <c r="H204" s="74">
        <v>5.2999999999999936E-2</v>
      </c>
      <c r="I204" s="74">
        <v>0.36899999999999977</v>
      </c>
      <c r="J204" s="74">
        <v>0.36899999999999977</v>
      </c>
      <c r="K204" s="112">
        <v>0</v>
      </c>
      <c r="L204" s="112">
        <v>0</v>
      </c>
      <c r="M204" s="74">
        <v>0</v>
      </c>
      <c r="N204" s="74">
        <v>0.12000000000000099</v>
      </c>
      <c r="O204" s="74">
        <v>0</v>
      </c>
      <c r="P204" s="74">
        <v>0.55200000000000315</v>
      </c>
      <c r="Q204" s="74">
        <v>0.16799999999999216</v>
      </c>
      <c r="R204" s="74">
        <v>0.64800000000000324</v>
      </c>
      <c r="S204" s="74">
        <v>0.99600000000000222</v>
      </c>
      <c r="T204" s="74">
        <v>1.1640000000000015</v>
      </c>
      <c r="U204" s="74">
        <v>0.21600000000000108</v>
      </c>
      <c r="V204" s="74">
        <v>-1.4210854715202004E-14</v>
      </c>
      <c r="W204" s="74">
        <v>8.4000000000017394E-2</v>
      </c>
      <c r="X204" s="74">
        <v>0.58799999999997965</v>
      </c>
      <c r="Y204" s="74">
        <v>0.37799999999999834</v>
      </c>
      <c r="AA204" s="74">
        <v>0</v>
      </c>
      <c r="AB204" s="73">
        <v>0.38</v>
      </c>
      <c r="AD204" s="74">
        <v>0</v>
      </c>
      <c r="AE204" s="73">
        <v>0.38</v>
      </c>
    </row>
    <row r="205" spans="1:31" ht="12.95" hidden="1" customHeight="1" outlineLevel="1" x14ac:dyDescent="0.2">
      <c r="A205" s="35"/>
      <c r="B205" s="35"/>
      <c r="C205" s="4"/>
      <c r="D205" s="4"/>
      <c r="F205" s="39" t="s">
        <v>37</v>
      </c>
      <c r="H205" s="68">
        <v>8.9784855158393934E-3</v>
      </c>
      <c r="I205" s="68">
        <v>5.3837175372045486E-2</v>
      </c>
      <c r="J205" s="68">
        <v>5.3837175372045486E-2</v>
      </c>
      <c r="K205" s="113">
        <v>0</v>
      </c>
      <c r="L205" s="113">
        <v>0</v>
      </c>
      <c r="M205" s="68">
        <v>0</v>
      </c>
      <c r="N205" s="68">
        <v>1.9841269841270003E-2</v>
      </c>
      <c r="O205" s="68">
        <v>0</v>
      </c>
      <c r="P205" s="68">
        <v>7.9173838209983222E-2</v>
      </c>
      <c r="Q205" s="68">
        <v>2.3809523809522705E-2</v>
      </c>
      <c r="R205" s="68">
        <v>9.2943201376936763E-2</v>
      </c>
      <c r="S205" s="68">
        <v>0.14285714285714315</v>
      </c>
      <c r="T205" s="68">
        <v>0.16496598639455792</v>
      </c>
      <c r="U205" s="68">
        <v>3.5156250000000187E-2</v>
      </c>
      <c r="V205" s="68">
        <v>-2.193033135062041E-15</v>
      </c>
      <c r="W205" s="68">
        <v>1.190476190476435E-2</v>
      </c>
      <c r="X205" s="68">
        <v>8.433734939758751E-2</v>
      </c>
      <c r="Y205" s="68">
        <v>5.6275122822688456E-2</v>
      </c>
      <c r="AA205" s="68">
        <v>0</v>
      </c>
      <c r="AB205" s="69"/>
      <c r="AD205" s="68">
        <v>0</v>
      </c>
      <c r="AE205" s="69"/>
    </row>
    <row r="206" spans="1:31" ht="18" customHeight="1" collapsed="1" x14ac:dyDescent="0.2">
      <c r="A206" s="30" t="s">
        <v>220</v>
      </c>
      <c r="B206" s="30" t="s">
        <v>22</v>
      </c>
      <c r="C206" s="4">
        <v>9.1976523961360163E-2</v>
      </c>
      <c r="D206" s="4">
        <v>4.3546472008446115E-2</v>
      </c>
      <c r="F206" s="106" t="s">
        <v>66</v>
      </c>
      <c r="H206" s="61">
        <v>-377.21</v>
      </c>
      <c r="I206" s="61">
        <v>-408.64400000000001</v>
      </c>
      <c r="J206" s="61">
        <v>-408.64400000000001</v>
      </c>
      <c r="K206" s="86">
        <v>-454.02890000000002</v>
      </c>
      <c r="L206" s="86">
        <v>-431.03377</v>
      </c>
      <c r="M206" s="61">
        <v>-32.972999999999999</v>
      </c>
      <c r="N206" s="61">
        <v>-31.399000000000001</v>
      </c>
      <c r="O206" s="61">
        <v>-35.046000000000006</v>
      </c>
      <c r="P206" s="61">
        <v>-33.400999999999982</v>
      </c>
      <c r="Q206" s="61">
        <v>-36.100999999999999</v>
      </c>
      <c r="R206" s="61">
        <v>-36.973000000000013</v>
      </c>
      <c r="S206" s="61">
        <v>-31.350999999999999</v>
      </c>
      <c r="T206" s="61">
        <v>-30.669999999999987</v>
      </c>
      <c r="U206" s="61">
        <v>-37.086999999999989</v>
      </c>
      <c r="V206" s="61">
        <v>-34.528999999999996</v>
      </c>
      <c r="W206" s="61">
        <v>-35.802000000000021</v>
      </c>
      <c r="X206" s="61">
        <v>-36.934000000000026</v>
      </c>
      <c r="Y206" s="61">
        <v>-412.26600000000002</v>
      </c>
      <c r="AA206" s="61">
        <v>-454.02890000000002</v>
      </c>
      <c r="AB206" s="60">
        <v>41.76</v>
      </c>
      <c r="AD206" s="61">
        <v>-431.03377</v>
      </c>
      <c r="AE206" s="60">
        <v>18.77</v>
      </c>
    </row>
    <row r="207" spans="1:31" ht="18" customHeight="1" x14ac:dyDescent="0.2">
      <c r="A207" s="30" t="s">
        <v>218</v>
      </c>
      <c r="B207" s="30" t="s">
        <v>22</v>
      </c>
      <c r="C207" s="4">
        <v>-0.99909788001804234</v>
      </c>
      <c r="D207" s="4">
        <v>-0.99909788001804234</v>
      </c>
      <c r="F207" s="104" t="s">
        <v>219</v>
      </c>
      <c r="G207" s="36"/>
      <c r="H207" s="65">
        <v>1.788</v>
      </c>
      <c r="I207" s="65">
        <v>5.9710000000000001</v>
      </c>
      <c r="J207" s="65">
        <v>5.9710000000000001</v>
      </c>
      <c r="K207" s="65">
        <v>0</v>
      </c>
      <c r="L207" s="65">
        <v>0</v>
      </c>
      <c r="M207" s="65">
        <v>-2.7330000000000001</v>
      </c>
      <c r="N207" s="65">
        <v>-2.7189999999999999</v>
      </c>
      <c r="O207" s="65">
        <v>-1.5280000000000005</v>
      </c>
      <c r="P207" s="65">
        <v>-2.4849999999999994</v>
      </c>
      <c r="Q207" s="65">
        <v>0.98799999999999955</v>
      </c>
      <c r="R207" s="65">
        <v>4.8000000000000043E-2</v>
      </c>
      <c r="S207" s="65">
        <v>-1.3369999999999997</v>
      </c>
      <c r="T207" s="65">
        <v>5.6079999999999997</v>
      </c>
      <c r="U207" s="65">
        <v>4.3220000000000001</v>
      </c>
      <c r="V207" s="65">
        <v>1.4430000000000003</v>
      </c>
      <c r="W207" s="65">
        <v>-2.8460000000000001</v>
      </c>
      <c r="X207" s="65">
        <v>-3.1950000000000003</v>
      </c>
      <c r="Y207" s="65">
        <v>-4.4340000000000002</v>
      </c>
      <c r="Z207" s="36"/>
      <c r="AA207" s="65">
        <v>0</v>
      </c>
      <c r="AB207" s="60">
        <v>-4.43</v>
      </c>
      <c r="AC207" s="36"/>
      <c r="AD207" s="65">
        <v>0</v>
      </c>
      <c r="AE207" s="60">
        <v>-4.43</v>
      </c>
    </row>
    <row r="208" spans="1:31" ht="18" customHeight="1" x14ac:dyDescent="0.2">
      <c r="A208" s="30" t="s">
        <v>34</v>
      </c>
      <c r="B208" s="30" t="s">
        <v>22</v>
      </c>
      <c r="C208" s="4">
        <v>0</v>
      </c>
      <c r="D208" s="4">
        <v>0</v>
      </c>
      <c r="F208" s="106" t="s">
        <v>57</v>
      </c>
      <c r="H208" s="61">
        <v>0</v>
      </c>
      <c r="I208" s="61">
        <v>0</v>
      </c>
      <c r="J208" s="61">
        <v>0</v>
      </c>
      <c r="K208" s="86">
        <v>0</v>
      </c>
      <c r="L208" s="86">
        <v>0</v>
      </c>
      <c r="M208" s="61">
        <v>0</v>
      </c>
      <c r="N208" s="61">
        <v>0</v>
      </c>
      <c r="O208" s="61">
        <v>0</v>
      </c>
      <c r="P208" s="61">
        <v>0</v>
      </c>
      <c r="Q208" s="61">
        <v>0</v>
      </c>
      <c r="R208" s="61">
        <v>0</v>
      </c>
      <c r="S208" s="61">
        <v>0</v>
      </c>
      <c r="T208" s="61">
        <v>0</v>
      </c>
      <c r="U208" s="61">
        <v>0</v>
      </c>
      <c r="V208" s="61">
        <v>0</v>
      </c>
      <c r="W208" s="61">
        <v>0</v>
      </c>
      <c r="X208" s="61">
        <v>0</v>
      </c>
      <c r="Y208" s="61">
        <v>0</v>
      </c>
      <c r="AA208" s="61">
        <v>0</v>
      </c>
      <c r="AB208" s="60">
        <v>0</v>
      </c>
      <c r="AD208" s="61">
        <v>0</v>
      </c>
      <c r="AE208" s="60">
        <v>0</v>
      </c>
    </row>
    <row r="209" spans="1:31" ht="18" customHeight="1" x14ac:dyDescent="0.2">
      <c r="A209" s="30" t="s">
        <v>221</v>
      </c>
      <c r="B209" s="30" t="s">
        <v>22</v>
      </c>
      <c r="C209" s="4">
        <v>0</v>
      </c>
      <c r="D209" s="4">
        <v>0</v>
      </c>
      <c r="F209" s="106" t="s">
        <v>379</v>
      </c>
      <c r="H209" s="61">
        <v>0</v>
      </c>
      <c r="I209" s="61">
        <v>0</v>
      </c>
      <c r="J209" s="61">
        <v>0</v>
      </c>
      <c r="K209" s="86">
        <v>0</v>
      </c>
      <c r="L209" s="86">
        <v>0</v>
      </c>
      <c r="M209" s="61">
        <v>0</v>
      </c>
      <c r="N209" s="61">
        <v>0</v>
      </c>
      <c r="O209" s="61">
        <v>0</v>
      </c>
      <c r="P209" s="61">
        <v>0</v>
      </c>
      <c r="Q209" s="61">
        <v>0</v>
      </c>
      <c r="R209" s="61">
        <v>0</v>
      </c>
      <c r="S209" s="61">
        <v>0</v>
      </c>
      <c r="T209" s="61">
        <v>0</v>
      </c>
      <c r="U209" s="61">
        <v>0</v>
      </c>
      <c r="V209" s="61">
        <v>0</v>
      </c>
      <c r="W209" s="61">
        <v>0</v>
      </c>
      <c r="X209" s="61">
        <v>0</v>
      </c>
      <c r="Y209" s="61">
        <v>0</v>
      </c>
      <c r="AA209" s="61">
        <v>0</v>
      </c>
      <c r="AB209" s="60">
        <v>0</v>
      </c>
      <c r="AD209" s="61">
        <v>0</v>
      </c>
      <c r="AE209" s="60">
        <v>0</v>
      </c>
    </row>
    <row r="210" spans="1:31" ht="18" customHeight="1" x14ac:dyDescent="0.2">
      <c r="A210" s="30" t="s">
        <v>430</v>
      </c>
      <c r="B210" s="30" t="s">
        <v>22</v>
      </c>
      <c r="C210" s="4">
        <v>0</v>
      </c>
      <c r="D210" s="4">
        <v>0</v>
      </c>
      <c r="F210" s="106" t="s">
        <v>431</v>
      </c>
      <c r="H210" s="61">
        <v>-0.58199999999999996</v>
      </c>
      <c r="I210" s="61">
        <v>-0.32300000000000001</v>
      </c>
      <c r="J210" s="61">
        <v>-0.32300000000000001</v>
      </c>
      <c r="K210" s="86">
        <v>0</v>
      </c>
      <c r="L210" s="86">
        <v>0</v>
      </c>
      <c r="M210" s="61">
        <v>0</v>
      </c>
      <c r="N210" s="61">
        <v>0</v>
      </c>
      <c r="O210" s="61">
        <v>0</v>
      </c>
      <c r="P210" s="61">
        <v>0</v>
      </c>
      <c r="Q210" s="61">
        <v>0</v>
      </c>
      <c r="R210" s="61">
        <v>0</v>
      </c>
      <c r="S210" s="61">
        <v>0</v>
      </c>
      <c r="T210" s="61">
        <v>0</v>
      </c>
      <c r="U210" s="61">
        <v>0</v>
      </c>
      <c r="V210" s="61">
        <v>0</v>
      </c>
      <c r="W210" s="61">
        <v>0</v>
      </c>
      <c r="X210" s="61">
        <v>0</v>
      </c>
      <c r="Y210" s="61">
        <v>0</v>
      </c>
      <c r="AA210" s="61">
        <v>0</v>
      </c>
      <c r="AB210" s="60">
        <v>0</v>
      </c>
      <c r="AD210" s="61">
        <v>0</v>
      </c>
      <c r="AE210" s="60">
        <v>0</v>
      </c>
    </row>
    <row r="211" spans="1:31" ht="18" customHeight="1" x14ac:dyDescent="0.2">
      <c r="A211" s="30" t="s">
        <v>35</v>
      </c>
      <c r="B211" s="30" t="s">
        <v>22</v>
      </c>
      <c r="C211" s="4">
        <v>-0.99667774086378735</v>
      </c>
      <c r="D211" s="4">
        <v>-0.2</v>
      </c>
      <c r="F211" s="106" t="s">
        <v>67</v>
      </c>
      <c r="H211" s="61">
        <v>0</v>
      </c>
      <c r="I211" s="61">
        <v>0</v>
      </c>
      <c r="J211" s="61">
        <v>0</v>
      </c>
      <c r="K211" s="86">
        <v>0</v>
      </c>
      <c r="L211" s="86">
        <v>-0.5</v>
      </c>
      <c r="M211" s="61">
        <v>0</v>
      </c>
      <c r="N211" s="61">
        <v>0</v>
      </c>
      <c r="O211" s="61">
        <v>0</v>
      </c>
      <c r="P211" s="61">
        <v>0</v>
      </c>
      <c r="Q211" s="61">
        <v>0</v>
      </c>
      <c r="R211" s="61">
        <v>-0.13200000000000001</v>
      </c>
      <c r="S211" s="61">
        <v>-0.13100000000000001</v>
      </c>
      <c r="T211" s="61">
        <v>-0.13200000000000001</v>
      </c>
      <c r="U211" s="61">
        <v>6.9000000000000006E-2</v>
      </c>
      <c r="V211" s="61">
        <v>-8.9999999999999969E-2</v>
      </c>
      <c r="W211" s="61">
        <v>-7.1000000000000008E-2</v>
      </c>
      <c r="X211" s="61">
        <v>-0.11499999999999999</v>
      </c>
      <c r="Y211" s="61">
        <v>-0.60199999999999998</v>
      </c>
      <c r="AA211" s="61">
        <v>0</v>
      </c>
      <c r="AB211" s="60">
        <v>-0.6</v>
      </c>
      <c r="AD211" s="61">
        <v>-0.5</v>
      </c>
      <c r="AE211" s="60">
        <v>-0.1</v>
      </c>
    </row>
    <row r="212" spans="1:31" ht="18" hidden="1" customHeight="1" outlineLevel="1" collapsed="1" x14ac:dyDescent="0.2">
      <c r="A212" s="35"/>
      <c r="B212" s="35"/>
      <c r="C212" s="4"/>
      <c r="D212" s="4"/>
      <c r="F212" s="97" t="s">
        <v>454</v>
      </c>
      <c r="H212" s="74">
        <v>0</v>
      </c>
      <c r="I212" s="74">
        <v>0</v>
      </c>
      <c r="J212" s="74">
        <v>0</v>
      </c>
      <c r="K212" s="112">
        <v>0</v>
      </c>
      <c r="L212" s="112">
        <v>0</v>
      </c>
      <c r="M212" s="74">
        <v>0</v>
      </c>
      <c r="N212" s="74">
        <v>0</v>
      </c>
      <c r="O212" s="74">
        <v>0</v>
      </c>
      <c r="P212" s="74">
        <v>0</v>
      </c>
      <c r="Q212" s="74">
        <v>0</v>
      </c>
      <c r="R212" s="74">
        <v>0</v>
      </c>
      <c r="S212" s="74">
        <v>0</v>
      </c>
      <c r="T212" s="74">
        <v>0</v>
      </c>
      <c r="U212" s="74">
        <v>0</v>
      </c>
      <c r="V212" s="74">
        <v>0</v>
      </c>
      <c r="W212" s="74">
        <v>0</v>
      </c>
      <c r="X212" s="74">
        <v>0</v>
      </c>
      <c r="Y212" s="74">
        <v>0</v>
      </c>
      <c r="AA212" s="74">
        <v>0</v>
      </c>
      <c r="AB212" s="73">
        <v>0</v>
      </c>
      <c r="AD212" s="74">
        <v>0</v>
      </c>
      <c r="AE212" s="73">
        <v>0</v>
      </c>
    </row>
    <row r="213" spans="1:31" ht="18" customHeight="1" collapsed="1" x14ac:dyDescent="0.2">
      <c r="A213" s="30" t="s">
        <v>20</v>
      </c>
      <c r="B213" s="30" t="s">
        <v>22</v>
      </c>
      <c r="C213" s="4">
        <v>0</v>
      </c>
      <c r="D213" s="4">
        <v>0</v>
      </c>
      <c r="F213" s="106" t="s">
        <v>68</v>
      </c>
      <c r="H213" s="61">
        <v>0</v>
      </c>
      <c r="I213" s="61">
        <v>0</v>
      </c>
      <c r="J213" s="61">
        <v>0</v>
      </c>
      <c r="K213" s="86">
        <v>0</v>
      </c>
      <c r="L213" s="86">
        <v>0</v>
      </c>
      <c r="M213" s="61">
        <v>0</v>
      </c>
      <c r="N213" s="61">
        <v>0</v>
      </c>
      <c r="O213" s="61">
        <v>0</v>
      </c>
      <c r="P213" s="61">
        <v>0</v>
      </c>
      <c r="Q213" s="61">
        <v>0</v>
      </c>
      <c r="R213" s="61">
        <v>0</v>
      </c>
      <c r="S213" s="61">
        <v>0</v>
      </c>
      <c r="T213" s="61">
        <v>0</v>
      </c>
      <c r="U213" s="61">
        <v>0</v>
      </c>
      <c r="V213" s="61">
        <v>0</v>
      </c>
      <c r="W213" s="61">
        <v>0</v>
      </c>
      <c r="X213" s="61">
        <v>0</v>
      </c>
      <c r="Y213" s="61">
        <v>0</v>
      </c>
      <c r="AA213" s="61">
        <v>0</v>
      </c>
      <c r="AB213" s="60">
        <v>0</v>
      </c>
      <c r="AD213" s="61">
        <v>0</v>
      </c>
      <c r="AE213" s="60">
        <v>0</v>
      </c>
    </row>
    <row r="214" spans="1:31" ht="18" customHeight="1" x14ac:dyDescent="0.2">
      <c r="A214" s="35"/>
      <c r="B214" s="35"/>
      <c r="C214" s="4">
        <v>8.0897934030190577E-2</v>
      </c>
      <c r="D214" s="4">
        <v>3.2975403060576232E-2</v>
      </c>
      <c r="F214" s="95" t="s">
        <v>275</v>
      </c>
      <c r="H214" s="198">
        <v>-376.00399999999996</v>
      </c>
      <c r="I214" s="198">
        <v>-402.99599999999998</v>
      </c>
      <c r="J214" s="198">
        <v>-402.99599999999998</v>
      </c>
      <c r="K214" s="89">
        <v>-454.02890000000002</v>
      </c>
      <c r="L214" s="89">
        <v>-431.53377</v>
      </c>
      <c r="M214" s="64">
        <v>-35.705999999999996</v>
      </c>
      <c r="N214" s="64">
        <v>-34.118000000000002</v>
      </c>
      <c r="O214" s="64">
        <v>-36.574000000000005</v>
      </c>
      <c r="P214" s="64">
        <v>-35.885999999999981</v>
      </c>
      <c r="Q214" s="64">
        <v>-35.113</v>
      </c>
      <c r="R214" s="64">
        <v>-37.057000000000009</v>
      </c>
      <c r="S214" s="64">
        <v>-32.819000000000003</v>
      </c>
      <c r="T214" s="64">
        <v>-25.193999999999988</v>
      </c>
      <c r="U214" s="64">
        <v>-32.695999999999984</v>
      </c>
      <c r="V214" s="64">
        <v>-33.176000000000002</v>
      </c>
      <c r="W214" s="64">
        <v>-38.719000000000023</v>
      </c>
      <c r="X214" s="64">
        <v>-40.244000000000028</v>
      </c>
      <c r="Y214" s="64">
        <v>-417.30200000000002</v>
      </c>
      <c r="AA214" s="64">
        <v>-454.02890000000002</v>
      </c>
      <c r="AB214" s="60">
        <v>36.729999999999997</v>
      </c>
      <c r="AD214" s="64">
        <v>-431.53377</v>
      </c>
      <c r="AE214" s="60">
        <v>14.23</v>
      </c>
    </row>
    <row r="215" spans="1:31" ht="12.95" customHeight="1" x14ac:dyDescent="0.2">
      <c r="A215" s="35"/>
      <c r="B215" s="35"/>
      <c r="C215" s="4"/>
      <c r="D215" s="4"/>
      <c r="F215" s="39" t="s">
        <v>223</v>
      </c>
      <c r="H215" s="56">
        <v>5.9624799085593649E-2</v>
      </c>
      <c r="I215" s="56">
        <v>6.0011132696801979E-2</v>
      </c>
      <c r="J215" s="56">
        <v>6.0011132696801979E-2</v>
      </c>
      <c r="K215" s="109">
        <v>7.0886380891996795E-2</v>
      </c>
      <c r="L215" s="109">
        <v>6.7549595759438322E-2</v>
      </c>
      <c r="M215" s="56">
        <v>6.8400464355362109E-2</v>
      </c>
      <c r="N215" s="56">
        <v>5.9453007240378837E-2</v>
      </c>
      <c r="O215" s="56">
        <v>6.9334202838656864E-2</v>
      </c>
      <c r="P215" s="56">
        <v>5.6682988469436077E-2</v>
      </c>
      <c r="Q215" s="56">
        <v>6.5247607544364941E-2</v>
      </c>
      <c r="R215" s="56">
        <v>6.6304639553400518E-2</v>
      </c>
      <c r="S215" s="56">
        <v>6.4055821215965619E-2</v>
      </c>
      <c r="T215" s="56">
        <v>4.7616167648826521E-2</v>
      </c>
      <c r="U215" s="56">
        <v>5.9893534004271831E-2</v>
      </c>
      <c r="V215" s="56">
        <v>6.5657865050684078E-2</v>
      </c>
      <c r="W215" s="56">
        <v>6.6441642413925764E-2</v>
      </c>
      <c r="X215" s="56">
        <v>6.8764598636805563E-2</v>
      </c>
      <c r="Y215" s="56">
        <v>6.3092204740707106E-2</v>
      </c>
      <c r="AA215" s="56">
        <v>7.0886380891996795E-2</v>
      </c>
      <c r="AB215" s="57"/>
      <c r="AD215" s="56">
        <v>6.7549595759438322E-2</v>
      </c>
      <c r="AE215" s="57"/>
    </row>
    <row r="216" spans="1:31" ht="6.95" customHeight="1" x14ac:dyDescent="0.2">
      <c r="C216" s="4"/>
      <c r="D216" s="4"/>
      <c r="F216" s="96"/>
      <c r="H216" s="16"/>
      <c r="I216" s="16"/>
      <c r="J216" s="16"/>
      <c r="K216" s="85"/>
      <c r="L216" s="85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AA216" s="16"/>
      <c r="AB216" s="20"/>
      <c r="AD216" s="16"/>
      <c r="AE216" s="20"/>
    </row>
    <row r="217" spans="1:31" ht="18" customHeight="1" x14ac:dyDescent="0.2">
      <c r="A217" s="30" t="s">
        <v>70</v>
      </c>
      <c r="B217" s="30" t="s">
        <v>22</v>
      </c>
      <c r="C217" s="4"/>
      <c r="D217" s="4"/>
      <c r="F217" s="97" t="s">
        <v>226</v>
      </c>
      <c r="H217" s="74">
        <v>2</v>
      </c>
      <c r="I217" s="74">
        <v>2</v>
      </c>
      <c r="J217" s="74">
        <v>2</v>
      </c>
      <c r="K217" s="112">
        <v>2</v>
      </c>
      <c r="L217" s="112">
        <v>2</v>
      </c>
      <c r="M217" s="74">
        <v>2.004</v>
      </c>
      <c r="N217" s="74">
        <v>1.9920000000000004</v>
      </c>
      <c r="O217" s="74">
        <v>2.0039999999999996</v>
      </c>
      <c r="P217" s="74">
        <v>2.0040000000000013</v>
      </c>
      <c r="Q217" s="74">
        <v>1.9919999999999973</v>
      </c>
      <c r="R217" s="74">
        <v>2.0040000000000013</v>
      </c>
      <c r="S217" s="74">
        <v>2.0040000000000013</v>
      </c>
      <c r="T217" s="74">
        <v>1.9919999999999973</v>
      </c>
      <c r="U217" s="74">
        <v>2.0040000000000013</v>
      </c>
      <c r="V217" s="74">
        <v>2.0040000000000013</v>
      </c>
      <c r="W217" s="74">
        <v>1.9919999999999973</v>
      </c>
      <c r="X217" s="74">
        <v>2.0040000000000013</v>
      </c>
      <c r="Y217" s="74">
        <v>2</v>
      </c>
      <c r="AA217" s="74">
        <v>2</v>
      </c>
      <c r="AB217" s="73">
        <v>0</v>
      </c>
      <c r="AD217" s="74">
        <v>2</v>
      </c>
      <c r="AE217" s="73">
        <v>0</v>
      </c>
    </row>
    <row r="218" spans="1:31" ht="12.95" customHeight="1" x14ac:dyDescent="0.2">
      <c r="A218" s="35"/>
      <c r="B218" s="35"/>
      <c r="C218" s="4"/>
      <c r="D218" s="4"/>
      <c r="F218" s="39" t="s">
        <v>71</v>
      </c>
      <c r="H218" s="132">
        <v>-4237</v>
      </c>
      <c r="I218" s="132">
        <v>-5470.9999999999991</v>
      </c>
      <c r="J218" s="132">
        <v>-5470.9999999999991</v>
      </c>
      <c r="K218" s="133">
        <v>-5999.0000000000009</v>
      </c>
      <c r="L218" s="133">
        <v>-5499.0000000000009</v>
      </c>
      <c r="M218" s="132">
        <v>-337.8243512974052</v>
      </c>
      <c r="N218" s="132">
        <v>-358.43373493975901</v>
      </c>
      <c r="O218" s="132">
        <v>-563.37325349301409</v>
      </c>
      <c r="P218" s="132">
        <v>-440.11976047904164</v>
      </c>
      <c r="Q218" s="132">
        <v>-445.28112449799266</v>
      </c>
      <c r="R218" s="132">
        <v>-384.73053892215546</v>
      </c>
      <c r="S218" s="132">
        <v>-565.36926147704537</v>
      </c>
      <c r="T218" s="132">
        <v>-187.24899598393606</v>
      </c>
      <c r="U218" s="132">
        <v>-283.43313373253483</v>
      </c>
      <c r="V218" s="132">
        <v>-705.08982035928091</v>
      </c>
      <c r="W218" s="132">
        <v>-459.33734939759086</v>
      </c>
      <c r="X218" s="132">
        <v>-584.33133732534918</v>
      </c>
      <c r="Y218" s="132">
        <v>-5316.5</v>
      </c>
      <c r="AA218" s="132">
        <v>-5999.0000000000009</v>
      </c>
      <c r="AB218" s="134">
        <v>682.5</v>
      </c>
      <c r="AD218" s="132">
        <v>-5499.0000000000009</v>
      </c>
      <c r="AE218" s="134">
        <v>182.5</v>
      </c>
    </row>
    <row r="219" spans="1:31" ht="18" customHeight="1" x14ac:dyDescent="0.2">
      <c r="A219" s="30" t="s">
        <v>63</v>
      </c>
      <c r="B219" s="30" t="s">
        <v>22</v>
      </c>
      <c r="C219" s="4">
        <v>0.2005597014925373</v>
      </c>
      <c r="D219" s="4">
        <v>0.2005597014925373</v>
      </c>
      <c r="F219" s="106" t="s">
        <v>201</v>
      </c>
      <c r="H219" s="61">
        <v>-3.3820000000000001</v>
      </c>
      <c r="I219" s="61">
        <v>-3.6629999999999998</v>
      </c>
      <c r="J219" s="61">
        <v>-3.6629999999999998</v>
      </c>
      <c r="K219" s="86">
        <v>-4.2880000000000003</v>
      </c>
      <c r="L219" s="86">
        <v>-4.2880000000000003</v>
      </c>
      <c r="M219" s="61">
        <v>-0.28599999999999998</v>
      </c>
      <c r="N219" s="61">
        <v>-0.28499999999999998</v>
      </c>
      <c r="O219" s="61">
        <v>-0.28600000000000003</v>
      </c>
      <c r="P219" s="61">
        <v>-0.28600000000000003</v>
      </c>
      <c r="Q219" s="61">
        <v>-0.28499999999999992</v>
      </c>
      <c r="R219" s="61">
        <v>-0.28600000000000003</v>
      </c>
      <c r="S219" s="61">
        <v>-0.28600000000000003</v>
      </c>
      <c r="T219" s="61">
        <v>-0.28500000000000014</v>
      </c>
      <c r="U219" s="61">
        <v>-0.28600000000000003</v>
      </c>
      <c r="V219" s="61">
        <v>-0.28600000000000003</v>
      </c>
      <c r="W219" s="61">
        <v>-0.2849999999999997</v>
      </c>
      <c r="X219" s="61">
        <v>-0.28600000000000003</v>
      </c>
      <c r="Y219" s="61">
        <v>-3.4279999999999999</v>
      </c>
      <c r="AA219" s="61">
        <v>-4.2880000000000003</v>
      </c>
      <c r="AB219" s="60">
        <v>0.86</v>
      </c>
      <c r="AD219" s="61">
        <v>-4.2880000000000003</v>
      </c>
      <c r="AE219" s="60">
        <v>0.86</v>
      </c>
    </row>
    <row r="220" spans="1:31" ht="18" customHeight="1" x14ac:dyDescent="0.2">
      <c r="A220" s="30" t="s">
        <v>64</v>
      </c>
      <c r="B220" s="30" t="s">
        <v>22</v>
      </c>
      <c r="C220" s="4">
        <v>-0.12313860252004584</v>
      </c>
      <c r="D220" s="4">
        <v>-0.5738362760834671</v>
      </c>
      <c r="F220" s="106" t="s">
        <v>202</v>
      </c>
      <c r="H220" s="61">
        <v>-2.9969999999999999</v>
      </c>
      <c r="I220" s="61">
        <v>-4.7389999999999999</v>
      </c>
      <c r="J220" s="61">
        <v>-4.7389999999999999</v>
      </c>
      <c r="K220" s="86">
        <v>-3.492</v>
      </c>
      <c r="L220" s="86">
        <v>-2.492</v>
      </c>
      <c r="M220" s="61">
        <v>-0.246</v>
      </c>
      <c r="N220" s="61">
        <v>-0.249</v>
      </c>
      <c r="O220" s="61">
        <v>-0.19899999999999995</v>
      </c>
      <c r="P220" s="61">
        <v>-0.45199999999999996</v>
      </c>
      <c r="Q220" s="61">
        <v>-0.3470000000000002</v>
      </c>
      <c r="R220" s="61">
        <v>-0.34099999999999997</v>
      </c>
      <c r="S220" s="61">
        <v>-0.66299999999999981</v>
      </c>
      <c r="T220" s="61">
        <v>8.8000000000000078E-2</v>
      </c>
      <c r="U220" s="61">
        <v>-0.13700000000000001</v>
      </c>
      <c r="V220" s="61">
        <v>-0.79</v>
      </c>
      <c r="W220" s="61">
        <v>-7.2999999999999954E-2</v>
      </c>
      <c r="X220" s="61">
        <v>-0.51300000000000034</v>
      </c>
      <c r="Y220" s="61">
        <v>-3.9220000000000002</v>
      </c>
      <c r="AA220" s="61">
        <v>-3.4919999999999995</v>
      </c>
      <c r="AB220" s="60">
        <v>-0.43</v>
      </c>
      <c r="AD220" s="61">
        <v>-2.492</v>
      </c>
      <c r="AE220" s="60">
        <v>-1.43</v>
      </c>
    </row>
    <row r="221" spans="1:31" ht="18" hidden="1" customHeight="1" outlineLevel="1" x14ac:dyDescent="0.2">
      <c r="A221" s="30" t="s">
        <v>150</v>
      </c>
      <c r="B221" s="30" t="s">
        <v>22</v>
      </c>
      <c r="C221" s="4">
        <v>-1.2350597609561753</v>
      </c>
      <c r="D221" s="4">
        <v>-1.2350597609561753</v>
      </c>
      <c r="F221" s="38" t="s">
        <v>151</v>
      </c>
      <c r="G221" s="34"/>
      <c r="H221" s="66">
        <v>-0.03</v>
      </c>
      <c r="I221" s="66">
        <v>-0.182</v>
      </c>
      <c r="J221" s="66">
        <v>-0.182</v>
      </c>
      <c r="K221" s="86">
        <v>0.502</v>
      </c>
      <c r="L221" s="86">
        <v>0.502</v>
      </c>
      <c r="M221" s="66">
        <v>0</v>
      </c>
      <c r="N221" s="66">
        <v>0</v>
      </c>
      <c r="O221" s="66">
        <v>0</v>
      </c>
      <c r="P221" s="66">
        <v>0</v>
      </c>
      <c r="Q221" s="66">
        <v>-7.9000000000000001E-2</v>
      </c>
      <c r="R221" s="66">
        <v>0</v>
      </c>
      <c r="S221" s="66">
        <v>-3.8999999999999993E-2</v>
      </c>
      <c r="T221" s="66">
        <v>0</v>
      </c>
      <c r="U221" s="66">
        <v>0</v>
      </c>
      <c r="V221" s="66">
        <v>0</v>
      </c>
      <c r="W221" s="66">
        <v>0</v>
      </c>
      <c r="X221" s="66">
        <v>0</v>
      </c>
      <c r="Y221" s="66">
        <v>-0.11799999999999999</v>
      </c>
      <c r="Z221" s="34"/>
      <c r="AA221" s="66">
        <v>0.502</v>
      </c>
      <c r="AB221" s="60">
        <v>-0.62</v>
      </c>
      <c r="AC221" s="34"/>
      <c r="AD221" s="66">
        <v>0.502</v>
      </c>
      <c r="AE221" s="60">
        <v>-0.62</v>
      </c>
    </row>
    <row r="222" spans="1:31" ht="18" hidden="1" customHeight="1" outlineLevel="1" x14ac:dyDescent="0.2">
      <c r="A222" s="30" t="s">
        <v>168</v>
      </c>
      <c r="B222" s="30" t="s">
        <v>22</v>
      </c>
      <c r="C222" s="4">
        <v>7.8431372549019607E-2</v>
      </c>
      <c r="D222" s="4">
        <v>7.8431372549019607E-2</v>
      </c>
      <c r="F222" s="38" t="s">
        <v>169</v>
      </c>
      <c r="G222" s="34"/>
      <c r="H222" s="66">
        <v>-1.4259999999999999</v>
      </c>
      <c r="I222" s="66">
        <v>-1.3380000000000001</v>
      </c>
      <c r="J222" s="66">
        <v>-1.3380000000000001</v>
      </c>
      <c r="K222" s="86">
        <v>-1.53</v>
      </c>
      <c r="L222" s="86">
        <v>-1.53</v>
      </c>
      <c r="M222" s="66">
        <v>-0.11799999999999999</v>
      </c>
      <c r="N222" s="66">
        <v>-0.11699999999999999</v>
      </c>
      <c r="O222" s="66">
        <v>-0.11799999999999999</v>
      </c>
      <c r="P222" s="66">
        <v>-0.11699999999999999</v>
      </c>
      <c r="Q222" s="66">
        <v>-0.11799999999999999</v>
      </c>
      <c r="R222" s="66">
        <v>-0.11699999999999999</v>
      </c>
      <c r="S222" s="66">
        <v>-0.11799999999999999</v>
      </c>
      <c r="T222" s="66">
        <v>-0.11699999999999999</v>
      </c>
      <c r="U222" s="66">
        <v>-0.1180000000000001</v>
      </c>
      <c r="V222" s="66">
        <v>-0.11799999999999988</v>
      </c>
      <c r="W222" s="66">
        <v>-0.11699999999999999</v>
      </c>
      <c r="X222" s="66">
        <v>-0.1180000000000001</v>
      </c>
      <c r="Y222" s="66">
        <v>-1.411</v>
      </c>
      <c r="Z222" s="34"/>
      <c r="AA222" s="66">
        <v>-1.53</v>
      </c>
      <c r="AB222" s="60">
        <v>0.12</v>
      </c>
      <c r="AC222" s="34"/>
      <c r="AD222" s="66">
        <v>-1.53</v>
      </c>
      <c r="AE222" s="60">
        <v>0.12</v>
      </c>
    </row>
    <row r="223" spans="1:31" ht="18" hidden="1" customHeight="1" outlineLevel="1" x14ac:dyDescent="0.2">
      <c r="A223" s="30" t="s">
        <v>170</v>
      </c>
      <c r="B223" s="30" t="s">
        <v>22</v>
      </c>
      <c r="C223" s="4">
        <v>-1.4689265536723168</v>
      </c>
      <c r="D223" s="4">
        <v>-1.4689265536723168</v>
      </c>
      <c r="F223" s="38" t="s">
        <v>171</v>
      </c>
      <c r="G223" s="34"/>
      <c r="H223" s="66">
        <v>0</v>
      </c>
      <c r="I223" s="66">
        <v>-0.309</v>
      </c>
      <c r="J223" s="66">
        <v>-0.309</v>
      </c>
      <c r="K223" s="86">
        <v>-0.35399999999999998</v>
      </c>
      <c r="L223" s="86">
        <v>-0.35399999999999998</v>
      </c>
      <c r="M223" s="66">
        <v>0</v>
      </c>
      <c r="N223" s="66">
        <v>0</v>
      </c>
      <c r="O223" s="66">
        <v>-0.5</v>
      </c>
      <c r="P223" s="66">
        <v>0</v>
      </c>
      <c r="Q223" s="66">
        <v>0</v>
      </c>
      <c r="R223" s="66">
        <v>0</v>
      </c>
      <c r="S223" s="66">
        <v>0</v>
      </c>
      <c r="T223" s="66">
        <v>0</v>
      </c>
      <c r="U223" s="66">
        <v>0</v>
      </c>
      <c r="V223" s="66">
        <v>0</v>
      </c>
      <c r="W223" s="66">
        <v>-0.31000000000000005</v>
      </c>
      <c r="X223" s="66">
        <v>-5.9999999999999942E-2</v>
      </c>
      <c r="Y223" s="66">
        <v>-0.87</v>
      </c>
      <c r="Z223" s="34"/>
      <c r="AA223" s="66">
        <v>-0.35399999999999993</v>
      </c>
      <c r="AB223" s="60">
        <v>-0.52</v>
      </c>
      <c r="AC223" s="34"/>
      <c r="AD223" s="66">
        <v>-0.35399999999999993</v>
      </c>
      <c r="AE223" s="60">
        <v>-0.52</v>
      </c>
    </row>
    <row r="224" spans="1:31" ht="18" customHeight="1" collapsed="1" x14ac:dyDescent="0.2">
      <c r="A224" s="35"/>
      <c r="B224" s="35"/>
      <c r="C224" s="4">
        <v>-0.73806078147612142</v>
      </c>
      <c r="D224" s="4">
        <v>-0.73806078147612142</v>
      </c>
      <c r="F224" s="106" t="s">
        <v>151</v>
      </c>
      <c r="H224" s="61">
        <v>-1.456</v>
      </c>
      <c r="I224" s="61">
        <v>-1.829</v>
      </c>
      <c r="J224" s="61">
        <v>-1.829</v>
      </c>
      <c r="K224" s="86">
        <v>-1.3820000000000001</v>
      </c>
      <c r="L224" s="86">
        <v>-1.3820000000000001</v>
      </c>
      <c r="M224" s="61">
        <v>-0.11799999999999999</v>
      </c>
      <c r="N224" s="61">
        <v>-0.11699999999999999</v>
      </c>
      <c r="O224" s="61">
        <v>-0.61799999999999999</v>
      </c>
      <c r="P224" s="61">
        <v>-0.11699999999999999</v>
      </c>
      <c r="Q224" s="61">
        <v>-0.19700000000000001</v>
      </c>
      <c r="R224" s="61">
        <v>-0.11699999999999999</v>
      </c>
      <c r="S224" s="61">
        <v>-0.15699999999999997</v>
      </c>
      <c r="T224" s="61">
        <v>-0.11699999999999999</v>
      </c>
      <c r="U224" s="61">
        <v>-0.1180000000000001</v>
      </c>
      <c r="V224" s="61">
        <v>-0.11799999999999988</v>
      </c>
      <c r="W224" s="61">
        <v>-0.42700000000000005</v>
      </c>
      <c r="X224" s="61">
        <v>-0.17800000000000005</v>
      </c>
      <c r="Y224" s="61">
        <v>-2.399</v>
      </c>
      <c r="AA224" s="61">
        <v>-1.3820000000000003</v>
      </c>
      <c r="AB224" s="60">
        <v>-1.02</v>
      </c>
      <c r="AD224" s="61">
        <v>-1.3820000000000003</v>
      </c>
      <c r="AE224" s="60">
        <v>-1.02</v>
      </c>
    </row>
    <row r="225" spans="1:39" ht="18" customHeight="1" collapsed="1" x14ac:dyDescent="0.2">
      <c r="A225" s="30" t="s">
        <v>146</v>
      </c>
      <c r="B225" s="30" t="s">
        <v>22</v>
      </c>
      <c r="C225" s="4">
        <v>-4.2016806722689079E-2</v>
      </c>
      <c r="D225" s="4">
        <v>-4.2016806722689079E-2</v>
      </c>
      <c r="F225" s="106" t="s">
        <v>147</v>
      </c>
      <c r="H225" s="61">
        <v>-0.26200000000000001</v>
      </c>
      <c r="I225" s="61">
        <v>-0.32200000000000001</v>
      </c>
      <c r="J225" s="61">
        <v>-0.32200000000000001</v>
      </c>
      <c r="K225" s="86">
        <v>-0.47599999999999998</v>
      </c>
      <c r="L225" s="86">
        <v>-0.47599999999999998</v>
      </c>
      <c r="M225" s="61">
        <v>-2.7E-2</v>
      </c>
      <c r="N225" s="61">
        <v>-2.7E-2</v>
      </c>
      <c r="O225" s="61">
        <v>-2.6000000000000002E-2</v>
      </c>
      <c r="P225" s="61">
        <v>-2.6999999999999996E-2</v>
      </c>
      <c r="Q225" s="61">
        <v>-2.700000000000001E-2</v>
      </c>
      <c r="R225" s="61">
        <v>-2.6999999999999996E-2</v>
      </c>
      <c r="S225" s="61">
        <v>-2.6999999999999996E-2</v>
      </c>
      <c r="T225" s="61">
        <v>-2.5999999999999995E-2</v>
      </c>
      <c r="U225" s="61">
        <v>-2.6999999999999996E-2</v>
      </c>
      <c r="V225" s="61">
        <v>-0.192</v>
      </c>
      <c r="W225" s="61">
        <v>-0.10000000000000003</v>
      </c>
      <c r="X225" s="61">
        <v>3.400000000000003E-2</v>
      </c>
      <c r="Y225" s="61">
        <v>-0.499</v>
      </c>
      <c r="AA225" s="61">
        <v>-0.47599999999999998</v>
      </c>
      <c r="AB225" s="60">
        <v>-0.02</v>
      </c>
      <c r="AD225" s="61">
        <v>-0.47599999999999998</v>
      </c>
      <c r="AE225" s="60">
        <v>-0.02</v>
      </c>
    </row>
    <row r="226" spans="1:39" ht="18" hidden="1" customHeight="1" outlineLevel="1" x14ac:dyDescent="0.2">
      <c r="A226" s="30" t="s">
        <v>154</v>
      </c>
      <c r="B226" s="30" t="s">
        <v>22</v>
      </c>
      <c r="C226" s="4">
        <v>1.0037878787878789</v>
      </c>
      <c r="D226" s="4">
        <v>1.0037878787878789</v>
      </c>
      <c r="F226" s="38" t="s">
        <v>155</v>
      </c>
      <c r="G226" s="34"/>
      <c r="H226" s="66">
        <v>0</v>
      </c>
      <c r="I226" s="66">
        <v>0</v>
      </c>
      <c r="J226" s="66">
        <v>0</v>
      </c>
      <c r="K226" s="86">
        <v>-0.52800000000000002</v>
      </c>
      <c r="L226" s="86">
        <v>-0.52800000000000002</v>
      </c>
      <c r="M226" s="66">
        <v>0</v>
      </c>
      <c r="N226" s="66">
        <v>0</v>
      </c>
      <c r="O226" s="66">
        <v>0</v>
      </c>
      <c r="P226" s="66">
        <v>0</v>
      </c>
      <c r="Q226" s="66">
        <v>0</v>
      </c>
      <c r="R226" s="66">
        <v>0</v>
      </c>
      <c r="S226" s="66">
        <v>0</v>
      </c>
      <c r="T226" s="66">
        <v>0</v>
      </c>
      <c r="U226" s="66">
        <v>0</v>
      </c>
      <c r="V226" s="66">
        <v>0</v>
      </c>
      <c r="W226" s="66">
        <v>0</v>
      </c>
      <c r="X226" s="66">
        <v>0</v>
      </c>
      <c r="Y226" s="66">
        <v>0</v>
      </c>
      <c r="Z226" s="34"/>
      <c r="AA226" s="66">
        <v>-0.52800000000000002</v>
      </c>
      <c r="AB226" s="60">
        <v>0.53</v>
      </c>
      <c r="AC226" s="34"/>
      <c r="AD226" s="66">
        <v>-0.52800000000000002</v>
      </c>
      <c r="AE226" s="60">
        <v>0.53</v>
      </c>
    </row>
    <row r="227" spans="1:39" ht="18" hidden="1" customHeight="1" outlineLevel="1" x14ac:dyDescent="0.2">
      <c r="A227" s="30" t="s">
        <v>156</v>
      </c>
      <c r="B227" s="30" t="s">
        <v>22</v>
      </c>
      <c r="C227" s="4">
        <v>0.99462365591397839</v>
      </c>
      <c r="D227" s="4">
        <v>0.99462365591397839</v>
      </c>
      <c r="F227" s="38" t="s">
        <v>157</v>
      </c>
      <c r="G227" s="34"/>
      <c r="H227" s="66">
        <v>0</v>
      </c>
      <c r="I227" s="66">
        <v>0</v>
      </c>
      <c r="J227" s="66">
        <v>0</v>
      </c>
      <c r="K227" s="86">
        <v>-0.372</v>
      </c>
      <c r="L227" s="86">
        <v>-0.372</v>
      </c>
      <c r="M227" s="66">
        <v>0</v>
      </c>
      <c r="N227" s="66">
        <v>0</v>
      </c>
      <c r="O227" s="66">
        <v>0</v>
      </c>
      <c r="P227" s="66">
        <v>0</v>
      </c>
      <c r="Q227" s="66">
        <v>0</v>
      </c>
      <c r="R227" s="66">
        <v>0</v>
      </c>
      <c r="S227" s="66">
        <v>0</v>
      </c>
      <c r="T227" s="66">
        <v>0</v>
      </c>
      <c r="U227" s="66">
        <v>0</v>
      </c>
      <c r="V227" s="66">
        <v>0</v>
      </c>
      <c r="W227" s="66">
        <v>0</v>
      </c>
      <c r="X227" s="66">
        <v>0</v>
      </c>
      <c r="Y227" s="66">
        <v>0</v>
      </c>
      <c r="Z227" s="34"/>
      <c r="AA227" s="66">
        <v>-0.37200000000000005</v>
      </c>
      <c r="AB227" s="60">
        <v>0.37</v>
      </c>
      <c r="AC227" s="34"/>
      <c r="AD227" s="66">
        <v>-0.37200000000000005</v>
      </c>
      <c r="AE227" s="60">
        <v>0.37</v>
      </c>
    </row>
    <row r="228" spans="1:39" ht="18" hidden="1" customHeight="1" outlineLevel="1" x14ac:dyDescent="0.2">
      <c r="A228" s="30" t="s">
        <v>160</v>
      </c>
      <c r="B228" s="30" t="s">
        <v>22</v>
      </c>
      <c r="C228" s="4">
        <v>0</v>
      </c>
      <c r="D228" s="4">
        <v>0</v>
      </c>
      <c r="F228" s="38" t="s">
        <v>161</v>
      </c>
      <c r="G228" s="34"/>
      <c r="H228" s="66">
        <v>0</v>
      </c>
      <c r="I228" s="66">
        <v>0</v>
      </c>
      <c r="J228" s="66">
        <v>0</v>
      </c>
      <c r="K228" s="86">
        <v>0</v>
      </c>
      <c r="L228" s="86">
        <v>0</v>
      </c>
      <c r="M228" s="66">
        <v>0</v>
      </c>
      <c r="N228" s="66">
        <v>0</v>
      </c>
      <c r="O228" s="66">
        <v>0</v>
      </c>
      <c r="P228" s="66">
        <v>0</v>
      </c>
      <c r="Q228" s="66">
        <v>0</v>
      </c>
      <c r="R228" s="66">
        <v>0</v>
      </c>
      <c r="S228" s="66">
        <v>0</v>
      </c>
      <c r="T228" s="66">
        <v>0</v>
      </c>
      <c r="U228" s="66">
        <v>0</v>
      </c>
      <c r="V228" s="66">
        <v>0</v>
      </c>
      <c r="W228" s="66">
        <v>0</v>
      </c>
      <c r="X228" s="66">
        <v>0</v>
      </c>
      <c r="Y228" s="66">
        <v>0</v>
      </c>
      <c r="Z228" s="34"/>
      <c r="AA228" s="66">
        <v>0</v>
      </c>
      <c r="AB228" s="60">
        <v>0</v>
      </c>
      <c r="AC228" s="34"/>
      <c r="AD228" s="66">
        <v>0</v>
      </c>
      <c r="AE228" s="60">
        <v>0</v>
      </c>
    </row>
    <row r="229" spans="1:39" ht="18" customHeight="1" collapsed="1" x14ac:dyDescent="0.2">
      <c r="A229" s="35"/>
      <c r="B229" s="35"/>
      <c r="C229" s="4">
        <v>1</v>
      </c>
      <c r="D229" s="4">
        <v>1</v>
      </c>
      <c r="F229" s="106" t="s">
        <v>378</v>
      </c>
      <c r="H229" s="61">
        <v>0</v>
      </c>
      <c r="I229" s="61">
        <v>0</v>
      </c>
      <c r="J229" s="61">
        <v>0</v>
      </c>
      <c r="K229" s="86">
        <v>-0.9</v>
      </c>
      <c r="L229" s="86">
        <v>-0.9</v>
      </c>
      <c r="M229" s="61">
        <v>0</v>
      </c>
      <c r="N229" s="61">
        <v>0</v>
      </c>
      <c r="O229" s="61">
        <v>0</v>
      </c>
      <c r="P229" s="61">
        <v>0</v>
      </c>
      <c r="Q229" s="61">
        <v>0</v>
      </c>
      <c r="R229" s="61">
        <v>0</v>
      </c>
      <c r="S229" s="61">
        <v>0</v>
      </c>
      <c r="T229" s="61">
        <v>0</v>
      </c>
      <c r="U229" s="61">
        <v>0</v>
      </c>
      <c r="V229" s="61">
        <v>0</v>
      </c>
      <c r="W229" s="61">
        <v>0</v>
      </c>
      <c r="X229" s="61">
        <v>0</v>
      </c>
      <c r="Y229" s="61">
        <v>0</v>
      </c>
      <c r="AA229" s="61">
        <v>-0.9</v>
      </c>
      <c r="AB229" s="60">
        <v>0.9</v>
      </c>
      <c r="AD229" s="61">
        <v>-0.9</v>
      </c>
      <c r="AE229" s="60">
        <v>0.9</v>
      </c>
    </row>
    <row r="230" spans="1:39" ht="18" customHeight="1" x14ac:dyDescent="0.2">
      <c r="A230" s="30" t="s">
        <v>408</v>
      </c>
      <c r="B230" s="30" t="s">
        <v>22</v>
      </c>
      <c r="C230" s="4"/>
      <c r="D230" s="4"/>
      <c r="F230" s="106" t="s">
        <v>409</v>
      </c>
      <c r="H230" s="61">
        <v>-0.124</v>
      </c>
      <c r="I230" s="61">
        <v>-0.13200000000000001</v>
      </c>
      <c r="J230" s="61">
        <v>-0.13200000000000001</v>
      </c>
      <c r="K230" s="86">
        <v>0</v>
      </c>
      <c r="L230" s="86">
        <v>0</v>
      </c>
      <c r="M230" s="61">
        <v>0</v>
      </c>
      <c r="N230" s="61">
        <v>-3.5999999999999997E-2</v>
      </c>
      <c r="O230" s="61">
        <v>0</v>
      </c>
      <c r="P230" s="61">
        <v>0</v>
      </c>
      <c r="Q230" s="61">
        <v>-3.1000000000000007E-2</v>
      </c>
      <c r="R230" s="61">
        <v>0</v>
      </c>
      <c r="S230" s="61">
        <v>0</v>
      </c>
      <c r="T230" s="61">
        <v>-3.3000000000000002E-2</v>
      </c>
      <c r="U230" s="61">
        <v>0</v>
      </c>
      <c r="V230" s="61">
        <v>0</v>
      </c>
      <c r="W230" s="61">
        <v>-0.03</v>
      </c>
      <c r="X230" s="61">
        <v>0</v>
      </c>
      <c r="Y230" s="61">
        <v>-0.13</v>
      </c>
      <c r="AA230" s="61">
        <v>0</v>
      </c>
      <c r="AB230" s="60">
        <v>-0.13</v>
      </c>
      <c r="AD230" s="61">
        <v>0</v>
      </c>
      <c r="AE230" s="60">
        <v>-0.13</v>
      </c>
      <c r="AM230"/>
    </row>
    <row r="231" spans="1:39" ht="18" hidden="1" customHeight="1" outlineLevel="1" x14ac:dyDescent="0.2">
      <c r="A231" s="30" t="s">
        <v>148</v>
      </c>
      <c r="B231" s="30" t="s">
        <v>22</v>
      </c>
      <c r="C231" s="4">
        <v>0</v>
      </c>
      <c r="D231" s="4">
        <v>0</v>
      </c>
      <c r="F231" s="38" t="s">
        <v>149</v>
      </c>
      <c r="G231" s="34"/>
      <c r="H231" s="66">
        <v>0</v>
      </c>
      <c r="I231" s="66">
        <v>0</v>
      </c>
      <c r="J231" s="66">
        <v>0</v>
      </c>
      <c r="K231" s="86">
        <v>0</v>
      </c>
      <c r="L231" s="86">
        <v>0</v>
      </c>
      <c r="M231" s="66">
        <v>0</v>
      </c>
      <c r="N231" s="66">
        <v>0</v>
      </c>
      <c r="O231" s="66">
        <v>0</v>
      </c>
      <c r="P231" s="66">
        <v>0</v>
      </c>
      <c r="Q231" s="66">
        <v>0</v>
      </c>
      <c r="R231" s="66">
        <v>0</v>
      </c>
      <c r="S231" s="66">
        <v>0</v>
      </c>
      <c r="T231" s="66">
        <v>0</v>
      </c>
      <c r="U231" s="66">
        <v>0</v>
      </c>
      <c r="V231" s="66">
        <v>0</v>
      </c>
      <c r="W231" s="66">
        <v>0</v>
      </c>
      <c r="X231" s="66">
        <v>0</v>
      </c>
      <c r="Y231" s="66">
        <v>0</v>
      </c>
      <c r="Z231" s="34"/>
      <c r="AA231" s="66">
        <v>0</v>
      </c>
      <c r="AB231" s="60">
        <v>0</v>
      </c>
      <c r="AC231" s="34"/>
      <c r="AD231" s="66">
        <v>0</v>
      </c>
      <c r="AE231" s="60">
        <v>0</v>
      </c>
    </row>
    <row r="232" spans="1:39" ht="18" hidden="1" customHeight="1" outlineLevel="1" x14ac:dyDescent="0.2">
      <c r="A232" s="30" t="s">
        <v>158</v>
      </c>
      <c r="B232" s="30" t="s">
        <v>22</v>
      </c>
      <c r="C232" s="4">
        <v>0.9624999999999998</v>
      </c>
      <c r="D232" s="4">
        <v>0.9624999999999998</v>
      </c>
      <c r="F232" s="38" t="s">
        <v>159</v>
      </c>
      <c r="G232" s="34"/>
      <c r="H232" s="66">
        <v>-2.5000000000000001E-2</v>
      </c>
      <c r="I232" s="66">
        <v>-2.9000000000000001E-2</v>
      </c>
      <c r="J232" s="66">
        <v>-2.9000000000000001E-2</v>
      </c>
      <c r="K232" s="86">
        <v>-0.8</v>
      </c>
      <c r="L232" s="86">
        <v>-0.8</v>
      </c>
      <c r="M232" s="66">
        <v>0</v>
      </c>
      <c r="N232" s="66">
        <v>0</v>
      </c>
      <c r="O232" s="66">
        <v>0</v>
      </c>
      <c r="P232" s="66">
        <v>0</v>
      </c>
      <c r="Q232" s="66">
        <v>0</v>
      </c>
      <c r="R232" s="66">
        <v>0</v>
      </c>
      <c r="S232" s="66">
        <v>0</v>
      </c>
      <c r="T232" s="66">
        <v>0</v>
      </c>
      <c r="U232" s="66">
        <v>0</v>
      </c>
      <c r="V232" s="66">
        <v>-2.7E-2</v>
      </c>
      <c r="W232" s="66">
        <v>0</v>
      </c>
      <c r="X232" s="66">
        <v>0</v>
      </c>
      <c r="Y232" s="66">
        <v>-2.7E-2</v>
      </c>
      <c r="Z232" s="34"/>
      <c r="AA232" s="66">
        <v>-0.80000000000000016</v>
      </c>
      <c r="AB232" s="60">
        <v>0.77</v>
      </c>
      <c r="AC232" s="34"/>
      <c r="AD232" s="66">
        <v>-0.80000000000000016</v>
      </c>
      <c r="AE232" s="60">
        <v>0.77</v>
      </c>
    </row>
    <row r="233" spans="1:39" ht="18" hidden="1" customHeight="1" outlineLevel="1" x14ac:dyDescent="0.2">
      <c r="A233" s="30" t="s">
        <v>152</v>
      </c>
      <c r="B233" s="30" t="s">
        <v>22</v>
      </c>
      <c r="C233" s="4">
        <v>0</v>
      </c>
      <c r="D233" s="4">
        <v>0</v>
      </c>
      <c r="F233" s="38" t="s">
        <v>153</v>
      </c>
      <c r="G233" s="34"/>
      <c r="H233" s="66">
        <v>0</v>
      </c>
      <c r="I233" s="66">
        <v>0</v>
      </c>
      <c r="J233" s="66">
        <v>0</v>
      </c>
      <c r="K233" s="86">
        <v>0</v>
      </c>
      <c r="L233" s="86">
        <v>0</v>
      </c>
      <c r="M233" s="66">
        <v>0</v>
      </c>
      <c r="N233" s="66">
        <v>0</v>
      </c>
      <c r="O233" s="66">
        <v>0</v>
      </c>
      <c r="P233" s="66">
        <v>0</v>
      </c>
      <c r="Q233" s="66">
        <v>0</v>
      </c>
      <c r="R233" s="66">
        <v>0</v>
      </c>
      <c r="S233" s="66">
        <v>0</v>
      </c>
      <c r="T233" s="66">
        <v>0</v>
      </c>
      <c r="U233" s="66">
        <v>0</v>
      </c>
      <c r="V233" s="66">
        <v>0</v>
      </c>
      <c r="W233" s="66">
        <v>0</v>
      </c>
      <c r="X233" s="66">
        <v>0</v>
      </c>
      <c r="Y233" s="66">
        <v>0</v>
      </c>
      <c r="Z233" s="34"/>
      <c r="AA233" s="66">
        <v>0</v>
      </c>
      <c r="AB233" s="60">
        <v>0</v>
      </c>
      <c r="AC233" s="34"/>
      <c r="AD233" s="66">
        <v>0</v>
      </c>
      <c r="AE233" s="60">
        <v>0</v>
      </c>
    </row>
    <row r="234" spans="1:39" ht="18" hidden="1" customHeight="1" outlineLevel="1" x14ac:dyDescent="0.2">
      <c r="A234" s="30" t="s">
        <v>269</v>
      </c>
      <c r="B234" s="30" t="s">
        <v>22</v>
      </c>
      <c r="C234" s="4">
        <v>0</v>
      </c>
      <c r="D234" s="4">
        <v>0</v>
      </c>
      <c r="F234" s="38" t="s">
        <v>271</v>
      </c>
      <c r="G234" s="34"/>
      <c r="H234" s="66">
        <v>0</v>
      </c>
      <c r="I234" s="66">
        <v>0</v>
      </c>
      <c r="J234" s="66">
        <v>0</v>
      </c>
      <c r="K234" s="86">
        <v>0</v>
      </c>
      <c r="L234" s="86">
        <v>0</v>
      </c>
      <c r="M234" s="66">
        <v>0</v>
      </c>
      <c r="N234" s="66">
        <v>0</v>
      </c>
      <c r="O234" s="66">
        <v>0</v>
      </c>
      <c r="P234" s="66">
        <v>0</v>
      </c>
      <c r="Q234" s="66">
        <v>0</v>
      </c>
      <c r="R234" s="66">
        <v>0</v>
      </c>
      <c r="S234" s="66">
        <v>0</v>
      </c>
      <c r="T234" s="66">
        <v>0</v>
      </c>
      <c r="U234" s="66">
        <v>0</v>
      </c>
      <c r="V234" s="66">
        <v>0</v>
      </c>
      <c r="W234" s="66">
        <v>0</v>
      </c>
      <c r="X234" s="66">
        <v>0</v>
      </c>
      <c r="Y234" s="66">
        <v>0</v>
      </c>
      <c r="Z234" s="34"/>
      <c r="AA234" s="66">
        <v>0</v>
      </c>
      <c r="AB234" s="60">
        <v>0</v>
      </c>
      <c r="AC234" s="34"/>
      <c r="AD234" s="66">
        <v>0</v>
      </c>
      <c r="AE234" s="60">
        <v>0</v>
      </c>
    </row>
    <row r="235" spans="1:39" ht="18" hidden="1" customHeight="1" outlineLevel="1" x14ac:dyDescent="0.2">
      <c r="A235" s="30" t="s">
        <v>270</v>
      </c>
      <c r="B235" s="30" t="s">
        <v>22</v>
      </c>
      <c r="C235" s="4">
        <v>0</v>
      </c>
      <c r="D235" s="4">
        <v>0</v>
      </c>
      <c r="F235" s="38" t="s">
        <v>272</v>
      </c>
      <c r="G235" s="34"/>
      <c r="H235" s="66">
        <v>0</v>
      </c>
      <c r="I235" s="66">
        <v>0</v>
      </c>
      <c r="J235" s="66">
        <v>0</v>
      </c>
      <c r="K235" s="86">
        <v>0</v>
      </c>
      <c r="L235" s="86">
        <v>0</v>
      </c>
      <c r="M235" s="66">
        <v>0</v>
      </c>
      <c r="N235" s="66">
        <v>0</v>
      </c>
      <c r="O235" s="66">
        <v>0</v>
      </c>
      <c r="P235" s="66">
        <v>0</v>
      </c>
      <c r="Q235" s="66">
        <v>0</v>
      </c>
      <c r="R235" s="66">
        <v>0</v>
      </c>
      <c r="S235" s="66">
        <v>0</v>
      </c>
      <c r="T235" s="66">
        <v>0</v>
      </c>
      <c r="U235" s="66">
        <v>0</v>
      </c>
      <c r="V235" s="66">
        <v>0</v>
      </c>
      <c r="W235" s="66">
        <v>0</v>
      </c>
      <c r="X235" s="66">
        <v>0</v>
      </c>
      <c r="Y235" s="66">
        <v>0</v>
      </c>
      <c r="Z235" s="34"/>
      <c r="AA235" s="66">
        <v>0</v>
      </c>
      <c r="AB235" s="60">
        <v>0</v>
      </c>
      <c r="AC235" s="34"/>
      <c r="AD235" s="66">
        <v>0</v>
      </c>
      <c r="AE235" s="60">
        <v>0</v>
      </c>
    </row>
    <row r="236" spans="1:39" ht="18" hidden="1" customHeight="1" outlineLevel="1" x14ac:dyDescent="0.2">
      <c r="A236" s="30" t="s">
        <v>162</v>
      </c>
      <c r="B236" s="30" t="s">
        <v>22</v>
      </c>
      <c r="C236" s="4">
        <v>0.65151515151515149</v>
      </c>
      <c r="D236" s="4">
        <v>0.65151515151515149</v>
      </c>
      <c r="F236" s="38" t="s">
        <v>163</v>
      </c>
      <c r="G236" s="34"/>
      <c r="H236" s="66">
        <v>-0.22800000000000001</v>
      </c>
      <c r="I236" s="66">
        <v>-0.22800000000000001</v>
      </c>
      <c r="J236" s="66">
        <v>-0.22800000000000001</v>
      </c>
      <c r="K236" s="86">
        <v>-0.66</v>
      </c>
      <c r="L236" s="86">
        <v>-0.66</v>
      </c>
      <c r="M236" s="66">
        <v>0</v>
      </c>
      <c r="N236" s="66">
        <v>0</v>
      </c>
      <c r="O236" s="66">
        <v>0</v>
      </c>
      <c r="P236" s="66">
        <v>0</v>
      </c>
      <c r="Q236" s="66">
        <v>0</v>
      </c>
      <c r="R236" s="66">
        <v>0</v>
      </c>
      <c r="S236" s="66">
        <v>0</v>
      </c>
      <c r="T236" s="66">
        <v>0</v>
      </c>
      <c r="U236" s="66">
        <v>0</v>
      </c>
      <c r="V236" s="66">
        <v>0</v>
      </c>
      <c r="W236" s="66">
        <v>0</v>
      </c>
      <c r="X236" s="66">
        <v>-0.22800000000000001</v>
      </c>
      <c r="Y236" s="66">
        <v>-0.22800000000000001</v>
      </c>
      <c r="Z236" s="34"/>
      <c r="AA236" s="66">
        <v>-0.66</v>
      </c>
      <c r="AB236" s="60">
        <v>0.43</v>
      </c>
      <c r="AC236" s="34"/>
      <c r="AD236" s="66">
        <v>-0.66</v>
      </c>
      <c r="AE236" s="60">
        <v>0.43</v>
      </c>
    </row>
    <row r="237" spans="1:39" ht="18" hidden="1" customHeight="1" outlineLevel="1" x14ac:dyDescent="0.2">
      <c r="A237" s="30" t="s">
        <v>164</v>
      </c>
      <c r="B237" s="30" t="s">
        <v>22</v>
      </c>
      <c r="C237" s="4">
        <v>0</v>
      </c>
      <c r="D237" s="4">
        <v>0</v>
      </c>
      <c r="F237" s="38" t="s">
        <v>165</v>
      </c>
      <c r="G237" s="34"/>
      <c r="H237" s="66">
        <v>0</v>
      </c>
      <c r="I237" s="66">
        <v>0</v>
      </c>
      <c r="J237" s="66">
        <v>0</v>
      </c>
      <c r="K237" s="86">
        <v>0</v>
      </c>
      <c r="L237" s="8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0</v>
      </c>
      <c r="R237" s="66">
        <v>0</v>
      </c>
      <c r="S237" s="66">
        <v>0</v>
      </c>
      <c r="T237" s="66">
        <v>0</v>
      </c>
      <c r="U237" s="66">
        <v>0</v>
      </c>
      <c r="V237" s="66">
        <v>0</v>
      </c>
      <c r="W237" s="66">
        <v>0</v>
      </c>
      <c r="X237" s="66">
        <v>0</v>
      </c>
      <c r="Y237" s="66">
        <v>0</v>
      </c>
      <c r="Z237" s="34"/>
      <c r="AA237" s="66">
        <v>0</v>
      </c>
      <c r="AB237" s="60">
        <v>0</v>
      </c>
      <c r="AC237" s="34"/>
      <c r="AD237" s="66">
        <v>0</v>
      </c>
      <c r="AE237" s="60">
        <v>0</v>
      </c>
    </row>
    <row r="238" spans="1:39" ht="18" hidden="1" customHeight="1" outlineLevel="1" x14ac:dyDescent="0.2">
      <c r="A238" s="30" t="s">
        <v>166</v>
      </c>
      <c r="B238" s="30" t="s">
        <v>22</v>
      </c>
      <c r="C238" s="4">
        <v>0</v>
      </c>
      <c r="D238" s="4">
        <v>0</v>
      </c>
      <c r="F238" s="38" t="s">
        <v>167</v>
      </c>
      <c r="G238" s="34"/>
      <c r="H238" s="66">
        <v>0</v>
      </c>
      <c r="I238" s="66">
        <v>0</v>
      </c>
      <c r="J238" s="66">
        <v>0</v>
      </c>
      <c r="K238" s="86">
        <v>0</v>
      </c>
      <c r="L238" s="86">
        <v>0</v>
      </c>
      <c r="M238" s="66">
        <v>0</v>
      </c>
      <c r="N238" s="66">
        <v>0</v>
      </c>
      <c r="O238" s="66">
        <v>0</v>
      </c>
      <c r="P238" s="66">
        <v>0</v>
      </c>
      <c r="Q238" s="66">
        <v>0</v>
      </c>
      <c r="R238" s="66">
        <v>0</v>
      </c>
      <c r="S238" s="66">
        <v>0</v>
      </c>
      <c r="T238" s="66">
        <v>0</v>
      </c>
      <c r="U238" s="66">
        <v>0</v>
      </c>
      <c r="V238" s="66">
        <v>0</v>
      </c>
      <c r="W238" s="66">
        <v>0</v>
      </c>
      <c r="X238" s="66">
        <v>0</v>
      </c>
      <c r="Y238" s="66">
        <v>0</v>
      </c>
      <c r="Z238" s="34"/>
      <c r="AA238" s="66">
        <v>0</v>
      </c>
      <c r="AB238" s="60">
        <v>0</v>
      </c>
      <c r="AC238" s="34"/>
      <c r="AD238" s="66">
        <v>0</v>
      </c>
      <c r="AE238" s="60">
        <v>0</v>
      </c>
    </row>
    <row r="239" spans="1:39" ht="18" customHeight="1" collapsed="1" x14ac:dyDescent="0.2">
      <c r="A239" s="35"/>
      <c r="B239" s="35"/>
      <c r="C239" s="4">
        <v>0.82876712328767121</v>
      </c>
      <c r="D239" s="4">
        <v>0.82876712328767121</v>
      </c>
      <c r="F239" s="106" t="s">
        <v>189</v>
      </c>
      <c r="H239" s="61">
        <v>-0.253</v>
      </c>
      <c r="I239" s="61">
        <v>-0.25700000000000001</v>
      </c>
      <c r="J239" s="61">
        <v>-0.25700000000000001</v>
      </c>
      <c r="K239" s="86">
        <v>-1.46</v>
      </c>
      <c r="L239" s="86">
        <v>-1.46</v>
      </c>
      <c r="M239" s="61">
        <v>0</v>
      </c>
      <c r="N239" s="61">
        <v>0</v>
      </c>
      <c r="O239" s="61">
        <v>0</v>
      </c>
      <c r="P239" s="61">
        <v>0</v>
      </c>
      <c r="Q239" s="61">
        <v>0</v>
      </c>
      <c r="R239" s="61">
        <v>0</v>
      </c>
      <c r="S239" s="61">
        <v>0</v>
      </c>
      <c r="T239" s="61">
        <v>0</v>
      </c>
      <c r="U239" s="61">
        <v>0</v>
      </c>
      <c r="V239" s="61">
        <v>-2.7E-2</v>
      </c>
      <c r="W239" s="61">
        <v>0</v>
      </c>
      <c r="X239" s="61">
        <v>-0.22800000000000001</v>
      </c>
      <c r="Y239" s="61">
        <v>-0.255</v>
      </c>
      <c r="AA239" s="61">
        <v>-1.46</v>
      </c>
      <c r="AB239" s="60">
        <v>1.21</v>
      </c>
      <c r="AD239" s="61">
        <v>-1.46</v>
      </c>
      <c r="AE239" s="60">
        <v>1.21</v>
      </c>
    </row>
    <row r="240" spans="1:39" ht="18" customHeight="1" x14ac:dyDescent="0.2">
      <c r="A240" s="35"/>
      <c r="B240" s="35"/>
      <c r="C240" s="4">
        <v>0.1141856976162694</v>
      </c>
      <c r="D240" s="4">
        <v>3.2733224222585927E-2</v>
      </c>
      <c r="F240" s="95" t="s">
        <v>65</v>
      </c>
      <c r="H240" s="195">
        <v>-8.4740000000000002</v>
      </c>
      <c r="I240" s="195">
        <v>-10.941999999999998</v>
      </c>
      <c r="J240" s="64">
        <v>-10.941999999999998</v>
      </c>
      <c r="K240" s="89">
        <v>-11.998000000000001</v>
      </c>
      <c r="L240" s="89">
        <v>-10.998000000000001</v>
      </c>
      <c r="M240" s="64">
        <v>-0.67700000000000005</v>
      </c>
      <c r="N240" s="64">
        <v>-0.71400000000000008</v>
      </c>
      <c r="O240" s="64">
        <v>-1.129</v>
      </c>
      <c r="P240" s="64">
        <v>-0.88200000000000001</v>
      </c>
      <c r="Q240" s="64">
        <v>-0.88700000000000023</v>
      </c>
      <c r="R240" s="64">
        <v>-0.77100000000000002</v>
      </c>
      <c r="S240" s="64">
        <v>-1.1329999999999998</v>
      </c>
      <c r="T240" s="64">
        <v>-0.37300000000000011</v>
      </c>
      <c r="U240" s="64">
        <v>-0.56800000000000017</v>
      </c>
      <c r="V240" s="64">
        <v>-1.4129999999999998</v>
      </c>
      <c r="W240" s="64">
        <v>-0.91499999999999981</v>
      </c>
      <c r="X240" s="64">
        <v>-1.1710000000000005</v>
      </c>
      <c r="Y240" s="64">
        <v>-10.633000000000001</v>
      </c>
      <c r="AA240" s="64">
        <v>-11.997999999999999</v>
      </c>
      <c r="AB240" s="60">
        <v>1.37</v>
      </c>
      <c r="AD240" s="64">
        <v>-10.997999999999999</v>
      </c>
      <c r="AE240" s="60">
        <v>0.36</v>
      </c>
    </row>
    <row r="241" spans="1:31" ht="12.95" customHeight="1" x14ac:dyDescent="0.2">
      <c r="A241" s="35"/>
      <c r="B241" s="35"/>
      <c r="C241" s="4"/>
      <c r="D241" s="4"/>
      <c r="F241" s="39" t="s">
        <v>223</v>
      </c>
      <c r="H241" s="56">
        <v>1.3437637563731254E-3</v>
      </c>
      <c r="I241" s="56">
        <v>1.629400326475715E-3</v>
      </c>
      <c r="J241" s="56">
        <v>1.629400326475715E-3</v>
      </c>
      <c r="K241" s="109">
        <v>1.8732173170962854E-3</v>
      </c>
      <c r="L241" s="109">
        <v>1.7215580930370819E-3</v>
      </c>
      <c r="M241" s="56">
        <v>1.2969000831395327E-3</v>
      </c>
      <c r="N241" s="56">
        <v>1.2441950632988597E-3</v>
      </c>
      <c r="O241" s="56">
        <v>2.1402721880254714E-3</v>
      </c>
      <c r="P241" s="56">
        <v>1.3931448428368346E-3</v>
      </c>
      <c r="Q241" s="56">
        <v>1.6482393384744031E-3</v>
      </c>
      <c r="R241" s="56">
        <v>1.3795201202383299E-3</v>
      </c>
      <c r="S241" s="56">
        <v>2.2113789401776115E-3</v>
      </c>
      <c r="T241" s="56">
        <v>7.0496271068557219E-4</v>
      </c>
      <c r="U241" s="56">
        <v>1.0404797930764138E-3</v>
      </c>
      <c r="V241" s="56">
        <v>2.7964360777856458E-3</v>
      </c>
      <c r="W241" s="56">
        <v>1.5701361814288081E-3</v>
      </c>
      <c r="X241" s="56">
        <v>2.0008782676597578E-3</v>
      </c>
      <c r="Y241" s="56">
        <v>1.6076113055004256E-3</v>
      </c>
      <c r="AA241" s="56">
        <v>1.8732173170962851E-3</v>
      </c>
      <c r="AB241" s="57"/>
      <c r="AD241" s="56">
        <v>1.7215580930370815E-3</v>
      </c>
      <c r="AE241" s="57"/>
    </row>
    <row r="242" spans="1:31" ht="6.95" customHeight="1" x14ac:dyDescent="0.2">
      <c r="C242" s="4"/>
      <c r="D242" s="4"/>
      <c r="F242" s="96"/>
      <c r="H242" s="16"/>
      <c r="I242" s="16"/>
      <c r="J242" s="16"/>
      <c r="K242" s="85"/>
      <c r="L242" s="85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AA242" s="16"/>
      <c r="AB242" s="20"/>
      <c r="AD242" s="16"/>
      <c r="AE242" s="20"/>
    </row>
    <row r="243" spans="1:31" ht="18" hidden="1" customHeight="1" outlineLevel="1" collapsed="1" x14ac:dyDescent="0.2">
      <c r="A243" s="35"/>
      <c r="B243" s="35"/>
      <c r="C243" s="4"/>
      <c r="D243" s="4"/>
      <c r="F243" s="97" t="s">
        <v>249</v>
      </c>
      <c r="H243" s="74">
        <v>0.17111428571428572</v>
      </c>
      <c r="I243" s="74">
        <v>0.16097142857142857</v>
      </c>
      <c r="J243" s="74">
        <v>0.16097142857142857</v>
      </c>
      <c r="K243" s="112">
        <v>0.22857142857142856</v>
      </c>
      <c r="L243" s="112">
        <v>0.16</v>
      </c>
      <c r="M243" s="74">
        <v>0.29725714285714289</v>
      </c>
      <c r="N243" s="74">
        <v>3.7714285714285714E-2</v>
      </c>
      <c r="O243" s="74">
        <v>0.29931428571428575</v>
      </c>
      <c r="P243" s="74">
        <v>0.1127999999999999</v>
      </c>
      <c r="Q243" s="74">
        <v>0.11520000000000009</v>
      </c>
      <c r="R243" s="74">
        <v>0.35245714285714286</v>
      </c>
      <c r="S243" s="74">
        <v>0.2077714285714285</v>
      </c>
      <c r="T243" s="74">
        <v>0.10868571428571436</v>
      </c>
      <c r="U243" s="74">
        <v>0.12342857142857123</v>
      </c>
      <c r="V243" s="74">
        <v>0.10662857142857141</v>
      </c>
      <c r="W243" s="74">
        <v>0.13268571428571443</v>
      </c>
      <c r="X243" s="74">
        <v>0.15222857142857141</v>
      </c>
      <c r="Y243" s="74">
        <v>0.1705142857142857</v>
      </c>
      <c r="AA243" s="74">
        <v>0.22857142857142856</v>
      </c>
      <c r="AB243" s="73">
        <v>-0.06</v>
      </c>
      <c r="AD243" s="74">
        <v>0.16</v>
      </c>
      <c r="AE243" s="73">
        <v>0.01</v>
      </c>
    </row>
    <row r="244" spans="1:31" ht="18" hidden="1" customHeight="1" outlineLevel="1" x14ac:dyDescent="0.2">
      <c r="A244" s="30" t="s">
        <v>79</v>
      </c>
      <c r="B244" s="30" t="s">
        <v>22</v>
      </c>
      <c r="C244" s="4">
        <v>0.25374999999999998</v>
      </c>
      <c r="D244" s="4">
        <v>-6.6071428571428586E-2</v>
      </c>
      <c r="F244" s="106" t="s">
        <v>83</v>
      </c>
      <c r="H244" s="61">
        <v>-5.9889999999999999</v>
      </c>
      <c r="I244" s="61">
        <v>-5.6340000000000003</v>
      </c>
      <c r="J244" s="61">
        <v>-5.6340000000000003</v>
      </c>
      <c r="K244" s="86">
        <v>-8</v>
      </c>
      <c r="L244" s="86">
        <v>-5.6</v>
      </c>
      <c r="M244" s="61">
        <v>-0.86699999999999999</v>
      </c>
      <c r="N244" s="61">
        <v>-0.10999999999999999</v>
      </c>
      <c r="O244" s="61">
        <v>-0.87300000000000011</v>
      </c>
      <c r="P244" s="61">
        <v>-0.32899999999999974</v>
      </c>
      <c r="Q244" s="61">
        <v>-0.3360000000000003</v>
      </c>
      <c r="R244" s="61">
        <v>-1.028</v>
      </c>
      <c r="S244" s="61">
        <v>-0.60599999999999987</v>
      </c>
      <c r="T244" s="61">
        <v>-0.31700000000000017</v>
      </c>
      <c r="U244" s="61">
        <v>-0.35999999999999943</v>
      </c>
      <c r="V244" s="61">
        <v>-0.31099999999999994</v>
      </c>
      <c r="W244" s="61">
        <v>-0.38700000000000045</v>
      </c>
      <c r="X244" s="61">
        <v>-0.44399999999999995</v>
      </c>
      <c r="Y244" s="61">
        <v>-5.968</v>
      </c>
      <c r="AA244" s="61">
        <v>-8</v>
      </c>
      <c r="AB244" s="60">
        <v>2.0299999999999998</v>
      </c>
      <c r="AD244" s="61">
        <v>-5.5999999999999988</v>
      </c>
      <c r="AE244" s="60">
        <v>-0.37</v>
      </c>
    </row>
    <row r="245" spans="1:31" ht="18" hidden="1" customHeight="1" outlineLevel="1" x14ac:dyDescent="0.2">
      <c r="A245" s="30" t="s">
        <v>80</v>
      </c>
      <c r="B245" s="30" t="s">
        <v>22</v>
      </c>
      <c r="C245" s="4">
        <v>0</v>
      </c>
      <c r="D245" s="4">
        <v>0</v>
      </c>
      <c r="F245" s="106" t="s">
        <v>84</v>
      </c>
      <c r="H245" s="61">
        <v>-8.9999999999999993E-3</v>
      </c>
      <c r="I245" s="61">
        <v>0</v>
      </c>
      <c r="J245" s="61">
        <v>0</v>
      </c>
      <c r="K245" s="86">
        <v>0</v>
      </c>
      <c r="L245" s="86">
        <v>0</v>
      </c>
      <c r="M245" s="61">
        <v>0</v>
      </c>
      <c r="N245" s="61">
        <v>0</v>
      </c>
      <c r="O245" s="61">
        <v>0</v>
      </c>
      <c r="P245" s="61">
        <v>0</v>
      </c>
      <c r="Q245" s="61">
        <v>0</v>
      </c>
      <c r="R245" s="61">
        <v>0</v>
      </c>
      <c r="S245" s="61">
        <v>0</v>
      </c>
      <c r="T245" s="61">
        <v>0</v>
      </c>
      <c r="U245" s="61">
        <v>0</v>
      </c>
      <c r="V245" s="61">
        <v>0</v>
      </c>
      <c r="W245" s="61">
        <v>0</v>
      </c>
      <c r="X245" s="61">
        <v>0</v>
      </c>
      <c r="Y245" s="61">
        <v>0</v>
      </c>
      <c r="AA245" s="61">
        <v>0</v>
      </c>
      <c r="AB245" s="60">
        <v>0</v>
      </c>
      <c r="AD245" s="61">
        <v>0</v>
      </c>
      <c r="AE245" s="60">
        <v>0</v>
      </c>
    </row>
    <row r="246" spans="1:31" ht="18" hidden="1" customHeight="1" outlineLevel="1" x14ac:dyDescent="0.2">
      <c r="A246" s="30" t="s">
        <v>81</v>
      </c>
      <c r="B246" s="30" t="s">
        <v>22</v>
      </c>
      <c r="C246" s="4">
        <v>-0.7142857142857143</v>
      </c>
      <c r="D246" s="4">
        <v>-0.7142857142857143</v>
      </c>
      <c r="F246" s="106" t="s">
        <v>85</v>
      </c>
      <c r="H246" s="61">
        <v>0</v>
      </c>
      <c r="I246" s="61">
        <v>0</v>
      </c>
      <c r="J246" s="61">
        <v>0</v>
      </c>
      <c r="K246" s="86">
        <v>0</v>
      </c>
      <c r="L246" s="86">
        <v>0</v>
      </c>
      <c r="M246" s="61">
        <v>0</v>
      </c>
      <c r="N246" s="61">
        <v>0</v>
      </c>
      <c r="O246" s="61">
        <v>0</v>
      </c>
      <c r="P246" s="61">
        <v>0</v>
      </c>
      <c r="Q246" s="61">
        <v>-1.4E-2</v>
      </c>
      <c r="R246" s="61">
        <v>0</v>
      </c>
      <c r="S246" s="61">
        <v>0</v>
      </c>
      <c r="T246" s="61">
        <v>0</v>
      </c>
      <c r="U246" s="61">
        <v>0</v>
      </c>
      <c r="V246" s="61">
        <v>0</v>
      </c>
      <c r="W246" s="61">
        <v>0</v>
      </c>
      <c r="X246" s="61">
        <v>0</v>
      </c>
      <c r="Y246" s="61">
        <v>-1.4E-2</v>
      </c>
      <c r="AA246" s="61">
        <v>0</v>
      </c>
      <c r="AB246" s="60">
        <v>-0.01</v>
      </c>
      <c r="AD246" s="61">
        <v>0</v>
      </c>
      <c r="AE246" s="60">
        <v>-0.01</v>
      </c>
    </row>
    <row r="247" spans="1:31" ht="18" hidden="1" customHeight="1" outlineLevel="1" x14ac:dyDescent="0.2">
      <c r="A247" s="30" t="s">
        <v>140</v>
      </c>
      <c r="B247" s="30" t="s">
        <v>22</v>
      </c>
      <c r="C247" s="4">
        <v>0</v>
      </c>
      <c r="D247" s="4">
        <v>0</v>
      </c>
      <c r="F247" s="106" t="s">
        <v>141</v>
      </c>
      <c r="H247" s="61">
        <v>0</v>
      </c>
      <c r="I247" s="61">
        <v>0</v>
      </c>
      <c r="J247" s="61">
        <v>0</v>
      </c>
      <c r="K247" s="86">
        <v>0</v>
      </c>
      <c r="L247" s="86">
        <v>0</v>
      </c>
      <c r="M247" s="61">
        <v>0</v>
      </c>
      <c r="N247" s="61">
        <v>0</v>
      </c>
      <c r="O247" s="61">
        <v>0</v>
      </c>
      <c r="P247" s="61">
        <v>0</v>
      </c>
      <c r="Q247" s="61">
        <v>0</v>
      </c>
      <c r="R247" s="61">
        <v>0</v>
      </c>
      <c r="S247" s="61">
        <v>0</v>
      </c>
      <c r="T247" s="61">
        <v>0</v>
      </c>
      <c r="U247" s="61">
        <v>0</v>
      </c>
      <c r="V247" s="61">
        <v>0</v>
      </c>
      <c r="W247" s="61">
        <v>0</v>
      </c>
      <c r="X247" s="61">
        <v>0</v>
      </c>
      <c r="Y247" s="61">
        <v>0</v>
      </c>
      <c r="AA247" s="61">
        <v>0</v>
      </c>
      <c r="AB247" s="60">
        <v>0</v>
      </c>
      <c r="AD247" s="61">
        <v>0</v>
      </c>
      <c r="AE247" s="60">
        <v>0</v>
      </c>
    </row>
    <row r="248" spans="1:31" ht="18" hidden="1" customHeight="1" outlineLevel="1" x14ac:dyDescent="0.2">
      <c r="A248" s="30" t="s">
        <v>123</v>
      </c>
      <c r="B248" s="30" t="s">
        <v>22</v>
      </c>
      <c r="C248" s="4">
        <v>0</v>
      </c>
      <c r="D248" s="4">
        <v>0</v>
      </c>
      <c r="F248" s="106" t="s">
        <v>142</v>
      </c>
      <c r="H248" s="61">
        <v>0</v>
      </c>
      <c r="I248" s="61">
        <v>0</v>
      </c>
      <c r="J248" s="61">
        <v>0</v>
      </c>
      <c r="K248" s="86">
        <v>0</v>
      </c>
      <c r="L248" s="86">
        <v>0</v>
      </c>
      <c r="M248" s="61">
        <v>0</v>
      </c>
      <c r="N248" s="61">
        <v>0</v>
      </c>
      <c r="O248" s="61">
        <v>0</v>
      </c>
      <c r="P248" s="61">
        <v>0</v>
      </c>
      <c r="Q248" s="61">
        <v>0</v>
      </c>
      <c r="R248" s="61">
        <v>0</v>
      </c>
      <c r="S248" s="61">
        <v>0</v>
      </c>
      <c r="T248" s="61">
        <v>0</v>
      </c>
      <c r="U248" s="61">
        <v>0</v>
      </c>
      <c r="V248" s="61">
        <v>0</v>
      </c>
      <c r="W248" s="61">
        <v>0</v>
      </c>
      <c r="X248" s="61">
        <v>0</v>
      </c>
      <c r="Y248" s="61">
        <v>0</v>
      </c>
      <c r="AA248" s="61">
        <v>0</v>
      </c>
      <c r="AB248" s="60">
        <v>0</v>
      </c>
      <c r="AD248" s="61">
        <v>0</v>
      </c>
      <c r="AE248" s="60">
        <v>0</v>
      </c>
    </row>
    <row r="249" spans="1:31" ht="18" hidden="1" customHeight="1" outlineLevel="1" x14ac:dyDescent="0.2">
      <c r="A249" s="30" t="s">
        <v>124</v>
      </c>
      <c r="B249" s="30" t="s">
        <v>22</v>
      </c>
      <c r="C249" s="4">
        <v>0</v>
      </c>
      <c r="D249" s="4">
        <v>0</v>
      </c>
      <c r="F249" s="106" t="s">
        <v>143</v>
      </c>
      <c r="H249" s="61">
        <v>0</v>
      </c>
      <c r="I249" s="61">
        <v>0</v>
      </c>
      <c r="J249" s="61">
        <v>0</v>
      </c>
      <c r="K249" s="86">
        <v>0</v>
      </c>
      <c r="L249" s="86">
        <v>0</v>
      </c>
      <c r="M249" s="61">
        <v>0</v>
      </c>
      <c r="N249" s="61">
        <v>0</v>
      </c>
      <c r="O249" s="61">
        <v>0</v>
      </c>
      <c r="P249" s="61">
        <v>0</v>
      </c>
      <c r="Q249" s="61">
        <v>0</v>
      </c>
      <c r="R249" s="61">
        <v>0</v>
      </c>
      <c r="S249" s="61">
        <v>0</v>
      </c>
      <c r="T249" s="61">
        <v>0</v>
      </c>
      <c r="U249" s="61">
        <v>0</v>
      </c>
      <c r="V249" s="61">
        <v>0</v>
      </c>
      <c r="W249" s="61">
        <v>0</v>
      </c>
      <c r="X249" s="61">
        <v>0</v>
      </c>
      <c r="Y249" s="61">
        <v>0</v>
      </c>
      <c r="AA249" s="61">
        <v>0</v>
      </c>
      <c r="AB249" s="60">
        <v>0</v>
      </c>
      <c r="AD249" s="61">
        <v>0</v>
      </c>
      <c r="AE249" s="60">
        <v>0</v>
      </c>
    </row>
    <row r="250" spans="1:31" ht="18" hidden="1" customHeight="1" outlineLevel="1" x14ac:dyDescent="0.2">
      <c r="A250" s="30" t="s">
        <v>204</v>
      </c>
      <c r="B250" s="30" t="s">
        <v>22</v>
      </c>
      <c r="C250" s="4">
        <v>0</v>
      </c>
      <c r="D250" s="4">
        <v>0</v>
      </c>
      <c r="F250" s="104" t="s">
        <v>139</v>
      </c>
      <c r="G250" s="36"/>
      <c r="H250" s="65">
        <v>0</v>
      </c>
      <c r="I250" s="65">
        <v>0</v>
      </c>
      <c r="J250" s="65">
        <v>0</v>
      </c>
      <c r="K250" s="90">
        <v>0</v>
      </c>
      <c r="L250" s="90">
        <v>0</v>
      </c>
      <c r="M250" s="65">
        <v>0</v>
      </c>
      <c r="N250" s="65">
        <v>0</v>
      </c>
      <c r="O250" s="65">
        <v>0</v>
      </c>
      <c r="P250" s="65">
        <v>0</v>
      </c>
      <c r="Q250" s="65">
        <v>0</v>
      </c>
      <c r="R250" s="65">
        <v>0</v>
      </c>
      <c r="S250" s="65">
        <v>0</v>
      </c>
      <c r="T250" s="65">
        <v>0</v>
      </c>
      <c r="U250" s="65">
        <v>0</v>
      </c>
      <c r="V250" s="65">
        <v>0</v>
      </c>
      <c r="W250" s="65">
        <v>0</v>
      </c>
      <c r="X250" s="65">
        <v>0</v>
      </c>
      <c r="Y250" s="65">
        <v>0</v>
      </c>
      <c r="Z250" s="36"/>
      <c r="AA250" s="65">
        <v>0</v>
      </c>
      <c r="AB250" s="60">
        <v>0</v>
      </c>
      <c r="AC250" s="36"/>
      <c r="AD250" s="65">
        <v>0</v>
      </c>
      <c r="AE250" s="60">
        <v>0</v>
      </c>
    </row>
    <row r="251" spans="1:31" ht="18" hidden="1" customHeight="1" outlineLevel="1" x14ac:dyDescent="0.2">
      <c r="A251" s="30" t="s">
        <v>82</v>
      </c>
      <c r="B251" s="30" t="s">
        <v>22</v>
      </c>
      <c r="C251" s="4">
        <v>0</v>
      </c>
      <c r="D251" s="4">
        <v>0</v>
      </c>
      <c r="F251" s="106" t="s">
        <v>86</v>
      </c>
      <c r="H251" s="61">
        <v>0</v>
      </c>
      <c r="I251" s="61">
        <v>-8.0000000000000002E-3</v>
      </c>
      <c r="J251" s="61">
        <v>-8.0000000000000002E-3</v>
      </c>
      <c r="K251" s="86">
        <v>0</v>
      </c>
      <c r="L251" s="86">
        <v>0</v>
      </c>
      <c r="M251" s="61">
        <v>0</v>
      </c>
      <c r="N251" s="61">
        <v>0</v>
      </c>
      <c r="O251" s="61">
        <v>0</v>
      </c>
      <c r="P251" s="61">
        <v>0</v>
      </c>
      <c r="Q251" s="61">
        <v>0</v>
      </c>
      <c r="R251" s="61">
        <v>0</v>
      </c>
      <c r="S251" s="61">
        <v>0</v>
      </c>
      <c r="T251" s="61">
        <v>0</v>
      </c>
      <c r="U251" s="61">
        <v>0</v>
      </c>
      <c r="V251" s="61">
        <v>0</v>
      </c>
      <c r="W251" s="61">
        <v>0</v>
      </c>
      <c r="X251" s="61">
        <v>0</v>
      </c>
      <c r="Y251" s="61">
        <v>0</v>
      </c>
      <c r="AA251" s="61">
        <v>0</v>
      </c>
      <c r="AB251" s="60">
        <v>0</v>
      </c>
      <c r="AD251" s="61">
        <v>0</v>
      </c>
      <c r="AE251" s="60">
        <v>0</v>
      </c>
    </row>
    <row r="252" spans="1:31" ht="18" hidden="1" customHeight="1" outlineLevel="1" x14ac:dyDescent="0.2">
      <c r="A252" s="30" t="s">
        <v>144</v>
      </c>
      <c r="B252" s="30" t="s">
        <v>22</v>
      </c>
      <c r="C252" s="4">
        <v>0</v>
      </c>
      <c r="D252" s="4">
        <v>0</v>
      </c>
      <c r="F252" s="106" t="s">
        <v>145</v>
      </c>
      <c r="H252" s="61">
        <v>0</v>
      </c>
      <c r="I252" s="61">
        <v>0</v>
      </c>
      <c r="J252" s="61">
        <v>0</v>
      </c>
      <c r="K252" s="86">
        <v>0</v>
      </c>
      <c r="L252" s="86">
        <v>0</v>
      </c>
      <c r="M252" s="61">
        <v>0</v>
      </c>
      <c r="N252" s="61">
        <v>0</v>
      </c>
      <c r="O252" s="61">
        <v>0</v>
      </c>
      <c r="P252" s="61">
        <v>0</v>
      </c>
      <c r="Q252" s="61">
        <v>0</v>
      </c>
      <c r="R252" s="61">
        <v>0</v>
      </c>
      <c r="S252" s="61">
        <v>0</v>
      </c>
      <c r="T252" s="61">
        <v>0</v>
      </c>
      <c r="U252" s="61">
        <v>0</v>
      </c>
      <c r="V252" s="61">
        <v>0</v>
      </c>
      <c r="W252" s="61">
        <v>0</v>
      </c>
      <c r="X252" s="61">
        <v>0</v>
      </c>
      <c r="Y252" s="61">
        <v>0</v>
      </c>
      <c r="AA252" s="61">
        <v>0</v>
      </c>
      <c r="AB252" s="60">
        <v>0</v>
      </c>
      <c r="AD252" s="61">
        <v>0</v>
      </c>
      <c r="AE252" s="60">
        <v>0</v>
      </c>
    </row>
    <row r="253" spans="1:31" ht="18" customHeight="1" collapsed="1" x14ac:dyDescent="0.2">
      <c r="A253" s="35"/>
      <c r="B253" s="35"/>
      <c r="C253" s="4">
        <v>0.2525</v>
      </c>
      <c r="D253" s="4">
        <v>-6.785714285714288E-2</v>
      </c>
      <c r="F253" s="95" t="s">
        <v>276</v>
      </c>
      <c r="H253" s="64">
        <v>-5.9980000000000002</v>
      </c>
      <c r="I253" s="64">
        <v>-5.6420000000000003</v>
      </c>
      <c r="J253" s="64">
        <v>-5.6420000000000003</v>
      </c>
      <c r="K253" s="89">
        <v>-8</v>
      </c>
      <c r="L253" s="89">
        <v>-5.6</v>
      </c>
      <c r="M253" s="64">
        <v>-0.86699999999999999</v>
      </c>
      <c r="N253" s="64">
        <v>-0.10999999999999999</v>
      </c>
      <c r="O253" s="64">
        <v>-0.87300000000000011</v>
      </c>
      <c r="P253" s="64">
        <v>-0.32899999999999974</v>
      </c>
      <c r="Q253" s="64">
        <v>-0.35000000000000031</v>
      </c>
      <c r="R253" s="64">
        <v>-1.028</v>
      </c>
      <c r="S253" s="64">
        <v>-0.60599999999999987</v>
      </c>
      <c r="T253" s="64">
        <v>-0.31700000000000017</v>
      </c>
      <c r="U253" s="64">
        <v>-0.35999999999999943</v>
      </c>
      <c r="V253" s="64">
        <v>-0.31099999999999994</v>
      </c>
      <c r="W253" s="64">
        <v>-0.38700000000000045</v>
      </c>
      <c r="X253" s="64">
        <v>-0.44399999999999995</v>
      </c>
      <c r="Y253" s="64">
        <v>-5.9820000000000002</v>
      </c>
      <c r="AA253" s="64">
        <v>-8</v>
      </c>
      <c r="AB253" s="60">
        <v>2.02</v>
      </c>
      <c r="AD253" s="64">
        <v>-5.5999999999999988</v>
      </c>
      <c r="AE253" s="60">
        <v>-0.38</v>
      </c>
    </row>
    <row r="254" spans="1:31" ht="12.95" customHeight="1" x14ac:dyDescent="0.2">
      <c r="A254" s="35"/>
      <c r="B254" s="35"/>
      <c r="C254" s="4"/>
      <c r="D254" s="4"/>
      <c r="F254" s="39" t="s">
        <v>223</v>
      </c>
      <c r="H254" s="56">
        <v>9.5113228826127047E-4</v>
      </c>
      <c r="I254" s="56">
        <v>8.4016419685395589E-4</v>
      </c>
      <c r="J254" s="56">
        <v>8.4016419685395589E-4</v>
      </c>
      <c r="K254" s="109">
        <v>1.2490197146833039E-3</v>
      </c>
      <c r="L254" s="109">
        <v>8.7658895444695916E-4</v>
      </c>
      <c r="M254" s="56">
        <v>1.6608749956897708E-3</v>
      </c>
      <c r="N254" s="56">
        <v>1.9168271283315759E-4</v>
      </c>
      <c r="O254" s="56">
        <v>1.6549668911835576E-3</v>
      </c>
      <c r="P254" s="56">
        <v>5.1966513978834268E-4</v>
      </c>
      <c r="Q254" s="56">
        <v>6.5037628913871648E-4</v>
      </c>
      <c r="R254" s="56">
        <v>1.8393601603177731E-3</v>
      </c>
      <c r="S254" s="56">
        <v>1.1827852054259774E-3</v>
      </c>
      <c r="T254" s="56">
        <v>5.9912380505985636E-4</v>
      </c>
      <c r="U254" s="56">
        <v>6.5945902378082447E-4</v>
      </c>
      <c r="V254" s="56">
        <v>6.1549300792026595E-4</v>
      </c>
      <c r="W254" s="56">
        <v>6.6409038493218529E-4</v>
      </c>
      <c r="X254" s="56">
        <v>7.5865922360455345E-4</v>
      </c>
      <c r="Y254" s="56">
        <v>9.0442310067747071E-4</v>
      </c>
      <c r="AA254" s="56">
        <v>1.2490197146833039E-3</v>
      </c>
      <c r="AB254" s="57"/>
      <c r="AD254" s="56">
        <v>8.7658895444695905E-4</v>
      </c>
      <c r="AE254" s="57"/>
    </row>
    <row r="255" spans="1:31" ht="6.95" customHeight="1" x14ac:dyDescent="0.2">
      <c r="C255" s="4"/>
      <c r="D255" s="4"/>
      <c r="F255" s="96"/>
      <c r="H255" s="53"/>
      <c r="I255" s="53"/>
      <c r="J255" s="53"/>
      <c r="K255" s="115"/>
      <c r="L255" s="115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AA255" s="53"/>
      <c r="AD255" s="53"/>
    </row>
    <row r="256" spans="1:31" ht="18" customHeight="1" x14ac:dyDescent="0.2">
      <c r="A256" s="30" t="s">
        <v>73</v>
      </c>
      <c r="B256" s="30" t="s">
        <v>22</v>
      </c>
      <c r="C256" s="4">
        <v>0.14733333333333334</v>
      </c>
      <c r="D256" s="4">
        <v>0.14733333333333334</v>
      </c>
      <c r="F256" s="106" t="s">
        <v>72</v>
      </c>
      <c r="H256" s="61">
        <v>-10.49</v>
      </c>
      <c r="I256" s="61">
        <v>-14.173</v>
      </c>
      <c r="J256" s="61">
        <v>-14.173</v>
      </c>
      <c r="K256" s="86">
        <v>-15</v>
      </c>
      <c r="L256" s="86">
        <v>-15</v>
      </c>
      <c r="M256" s="61">
        <v>-2.0070000000000001</v>
      </c>
      <c r="N256" s="61">
        <v>-2.9439999999999995</v>
      </c>
      <c r="O256" s="61">
        <v>-1.9980000000000002</v>
      </c>
      <c r="P256" s="61">
        <v>-0.50600000000000023</v>
      </c>
      <c r="Q256" s="61">
        <v>-2.0470000000000006</v>
      </c>
      <c r="R256" s="61">
        <v>-1.0109999999999992</v>
      </c>
      <c r="S256" s="61">
        <v>0.41300000000000026</v>
      </c>
      <c r="T256" s="61">
        <v>-0.24500000000000099</v>
      </c>
      <c r="U256" s="61">
        <v>-0.34499999999999886</v>
      </c>
      <c r="V256" s="61">
        <v>-0.3879999999999999</v>
      </c>
      <c r="W256" s="61">
        <v>-0.54400000000000048</v>
      </c>
      <c r="X256" s="61">
        <v>-1.1660000000000004</v>
      </c>
      <c r="Y256" s="61">
        <v>-12.788</v>
      </c>
      <c r="AA256" s="61">
        <v>-15</v>
      </c>
      <c r="AB256" s="60">
        <v>2.21</v>
      </c>
      <c r="AD256" s="61">
        <v>-15</v>
      </c>
      <c r="AE256" s="60">
        <v>2.21</v>
      </c>
    </row>
    <row r="257" spans="1:31" ht="18" customHeight="1" x14ac:dyDescent="0.2">
      <c r="A257" s="30" t="s">
        <v>129</v>
      </c>
      <c r="B257" s="30" t="s">
        <v>22</v>
      </c>
      <c r="C257" s="4">
        <v>-0.72399999999999998</v>
      </c>
      <c r="D257" s="4">
        <v>4.2222222222222223E-2</v>
      </c>
      <c r="F257" s="106" t="s">
        <v>190</v>
      </c>
      <c r="H257" s="61">
        <v>-6.6390000000000002</v>
      </c>
      <c r="I257" s="61">
        <v>-5.5659999999999998</v>
      </c>
      <c r="J257" s="61">
        <v>-5.5659999999999998</v>
      </c>
      <c r="K257" s="86">
        <v>-5</v>
      </c>
      <c r="L257" s="86">
        <v>-9</v>
      </c>
      <c r="M257" s="61">
        <v>-2.1440000000000001</v>
      </c>
      <c r="N257" s="61">
        <v>-0.69899999999999984</v>
      </c>
      <c r="O257" s="61">
        <v>-0.61699999999999999</v>
      </c>
      <c r="P257" s="61">
        <v>-0.28900000000000015</v>
      </c>
      <c r="Q257" s="61">
        <v>-0.38799999999999946</v>
      </c>
      <c r="R257" s="61">
        <v>-0.7240000000000002</v>
      </c>
      <c r="S257" s="61">
        <v>-0.54999999999999982</v>
      </c>
      <c r="T257" s="61">
        <v>-0.69700000000000006</v>
      </c>
      <c r="U257" s="61">
        <v>-0.20800000000000018</v>
      </c>
      <c r="V257" s="61">
        <v>-0.70300000000000029</v>
      </c>
      <c r="W257" s="61">
        <v>-1.1649999999999991</v>
      </c>
      <c r="X257" s="61">
        <v>-0.44000000000000128</v>
      </c>
      <c r="Y257" s="61">
        <v>-8.6240000000000006</v>
      </c>
      <c r="AA257" s="61">
        <v>-5</v>
      </c>
      <c r="AB257" s="60">
        <v>-3.62</v>
      </c>
      <c r="AD257" s="61">
        <v>-9</v>
      </c>
      <c r="AE257" s="60">
        <v>0.38</v>
      </c>
    </row>
    <row r="258" spans="1:31" ht="18" customHeight="1" x14ac:dyDescent="0.2">
      <c r="A258" s="30" t="s">
        <v>78</v>
      </c>
      <c r="B258" s="30" t="s">
        <v>22</v>
      </c>
      <c r="C258" s="4">
        <v>0.746</v>
      </c>
      <c r="D258" s="4">
        <v>0.36499999999999999</v>
      </c>
      <c r="F258" s="106" t="s">
        <v>77</v>
      </c>
      <c r="H258" s="61">
        <v>-7.5490000000000004</v>
      </c>
      <c r="I258" s="61">
        <v>-1.9750000000000001</v>
      </c>
      <c r="J258" s="61">
        <v>-1.9750000000000001</v>
      </c>
      <c r="K258" s="86">
        <v>-5</v>
      </c>
      <c r="L258" s="86">
        <v>-2</v>
      </c>
      <c r="M258" s="61">
        <v>-5.3999999999999999E-2</v>
      </c>
      <c r="N258" s="61">
        <v>-5.9000000000000004E-2</v>
      </c>
      <c r="O258" s="61">
        <v>-0.27100000000000002</v>
      </c>
      <c r="P258" s="61">
        <v>-0.27800000000000002</v>
      </c>
      <c r="Q258" s="61">
        <v>-6.9999999999999951E-2</v>
      </c>
      <c r="R258" s="61">
        <v>-4.1000000000000036E-2</v>
      </c>
      <c r="S258" s="61">
        <v>3.2000000000000028E-2</v>
      </c>
      <c r="T258" s="61">
        <v>-3.0000000000000027E-2</v>
      </c>
      <c r="U258" s="61">
        <v>-1.5000000000000013E-2</v>
      </c>
      <c r="V258" s="61">
        <v>-1.2000000000000011E-2</v>
      </c>
      <c r="W258" s="61">
        <v>-0.29400000000000004</v>
      </c>
      <c r="X258" s="61">
        <v>-0.18299999999999983</v>
      </c>
      <c r="Y258" s="61">
        <v>-1.2749999999999999</v>
      </c>
      <c r="AA258" s="61">
        <v>-5</v>
      </c>
      <c r="AB258" s="60">
        <v>3.73</v>
      </c>
      <c r="AD258" s="61">
        <v>-2</v>
      </c>
      <c r="AE258" s="60">
        <v>0.73</v>
      </c>
    </row>
    <row r="259" spans="1:31" ht="18" customHeight="1" x14ac:dyDescent="0.2">
      <c r="A259" s="30" t="s">
        <v>75</v>
      </c>
      <c r="B259" s="30" t="s">
        <v>22</v>
      </c>
      <c r="C259" s="4">
        <v>-5.7272727272727274E-2</v>
      </c>
      <c r="D259" s="4">
        <v>-5.7272727272727274E-2</v>
      </c>
      <c r="F259" s="106" t="s">
        <v>76</v>
      </c>
      <c r="H259" s="61">
        <v>-12.443</v>
      </c>
      <c r="I259" s="61">
        <v>-11.409000000000001</v>
      </c>
      <c r="J259" s="61">
        <v>-11.409000000000001</v>
      </c>
      <c r="K259" s="86">
        <v>-11</v>
      </c>
      <c r="L259" s="86">
        <v>-11</v>
      </c>
      <c r="M259" s="61">
        <v>-0.54500000000000004</v>
      </c>
      <c r="N259" s="61">
        <v>-0.43499999999999994</v>
      </c>
      <c r="O259" s="61">
        <v>-2.286</v>
      </c>
      <c r="P259" s="61">
        <v>-0.84499999999999975</v>
      </c>
      <c r="Q259" s="61">
        <v>-1.0100000000000007</v>
      </c>
      <c r="R259" s="61">
        <v>0.81300000000000061</v>
      </c>
      <c r="S259" s="61">
        <v>-0.55700000000000038</v>
      </c>
      <c r="T259" s="61">
        <v>-2.577</v>
      </c>
      <c r="U259" s="61">
        <v>-1.0199999999999996</v>
      </c>
      <c r="V259" s="61">
        <v>-0.72700000000000031</v>
      </c>
      <c r="W259" s="61">
        <v>-1.0839999999999996</v>
      </c>
      <c r="X259" s="61">
        <v>-1.3580000000000005</v>
      </c>
      <c r="Y259" s="61">
        <v>-11.631</v>
      </c>
      <c r="AA259" s="61">
        <v>-11</v>
      </c>
      <c r="AB259" s="60">
        <v>-0.63</v>
      </c>
      <c r="AD259" s="61">
        <v>-11</v>
      </c>
      <c r="AE259" s="60">
        <v>-0.63</v>
      </c>
    </row>
    <row r="260" spans="1:31" ht="18" customHeight="1" x14ac:dyDescent="0.2">
      <c r="A260" s="30" t="s">
        <v>181</v>
      </c>
      <c r="B260" s="30" t="s">
        <v>22</v>
      </c>
      <c r="C260" s="4">
        <v>1.2533333333333332E-2</v>
      </c>
      <c r="D260" s="4">
        <v>-1.452054794520548E-2</v>
      </c>
      <c r="F260" s="106" t="s">
        <v>182</v>
      </c>
      <c r="H260" s="61">
        <v>-84.882000000000005</v>
      </c>
      <c r="I260" s="61">
        <v>-82.67</v>
      </c>
      <c r="J260" s="61">
        <v>-82.67</v>
      </c>
      <c r="K260" s="86">
        <v>-75</v>
      </c>
      <c r="L260" s="86">
        <v>-73</v>
      </c>
      <c r="M260" s="61">
        <v>-4.3540000000000001</v>
      </c>
      <c r="N260" s="61">
        <v>-8.8129999999999988</v>
      </c>
      <c r="O260" s="61">
        <v>-9.2810000000000024</v>
      </c>
      <c r="P260" s="61">
        <v>-7.2979999999999983</v>
      </c>
      <c r="Q260" s="61">
        <v>-7.3919999999999995</v>
      </c>
      <c r="R260" s="61">
        <v>0.5519999999999996</v>
      </c>
      <c r="S260" s="61">
        <v>-6.0040000000000049</v>
      </c>
      <c r="T260" s="61">
        <v>-6.0030000000000001</v>
      </c>
      <c r="U260" s="61">
        <v>-6.002999999999993</v>
      </c>
      <c r="V260" s="61">
        <v>-5.652000000000001</v>
      </c>
      <c r="W260" s="61">
        <v>-5.9720000000000013</v>
      </c>
      <c r="X260" s="61">
        <v>-7.8370000000000033</v>
      </c>
      <c r="Y260" s="61">
        <v>-74.057000000000002</v>
      </c>
      <c r="AA260" s="61">
        <v>-75</v>
      </c>
      <c r="AB260" s="60">
        <v>0.94</v>
      </c>
      <c r="AD260" s="61">
        <v>-73</v>
      </c>
      <c r="AE260" s="60">
        <v>-1.06</v>
      </c>
    </row>
    <row r="261" spans="1:31" ht="18" customHeight="1" x14ac:dyDescent="0.2">
      <c r="A261" s="30" t="s">
        <v>90</v>
      </c>
      <c r="B261" s="30" t="s">
        <v>22</v>
      </c>
      <c r="C261" s="4">
        <v>0.27944444444444444</v>
      </c>
      <c r="D261" s="4">
        <v>-8.0833333333333326E-2</v>
      </c>
      <c r="F261" s="106" t="s">
        <v>95</v>
      </c>
      <c r="H261" s="61">
        <v>-21.678000000000001</v>
      </c>
      <c r="I261" s="61">
        <v>-15.708</v>
      </c>
      <c r="J261" s="61">
        <v>-15.708</v>
      </c>
      <c r="K261" s="86">
        <v>-18</v>
      </c>
      <c r="L261" s="86">
        <v>-12</v>
      </c>
      <c r="M261" s="61">
        <v>-1.39</v>
      </c>
      <c r="N261" s="61">
        <v>-0.98400000000000021</v>
      </c>
      <c r="O261" s="61">
        <v>-1.3249999999999997</v>
      </c>
      <c r="P261" s="61">
        <v>-0.94599999999999973</v>
      </c>
      <c r="Q261" s="61">
        <v>-1.0520000000000005</v>
      </c>
      <c r="R261" s="61">
        <v>-0.58899999999999952</v>
      </c>
      <c r="S261" s="61">
        <v>-1.4000000000000004</v>
      </c>
      <c r="T261" s="61">
        <v>-1.0500000000000007</v>
      </c>
      <c r="U261" s="61">
        <v>-1.0409999999999986</v>
      </c>
      <c r="V261" s="61">
        <v>-0.37100000000000044</v>
      </c>
      <c r="W261" s="61">
        <v>-1.7710000000000008</v>
      </c>
      <c r="X261" s="61">
        <v>-1.0499999999999989</v>
      </c>
      <c r="Y261" s="61">
        <v>-12.968999999999999</v>
      </c>
      <c r="AA261" s="61">
        <v>-18</v>
      </c>
      <c r="AB261" s="60">
        <v>5.03</v>
      </c>
      <c r="AD261" s="61">
        <v>-12</v>
      </c>
      <c r="AE261" s="60">
        <v>-0.97</v>
      </c>
    </row>
    <row r="262" spans="1:31" ht="18" customHeight="1" x14ac:dyDescent="0.2">
      <c r="A262" s="30" t="s">
        <v>91</v>
      </c>
      <c r="B262" s="30" t="s">
        <v>22</v>
      </c>
      <c r="C262" s="4">
        <v>-1.2727272727272728E-2</v>
      </c>
      <c r="D262" s="4">
        <v>-1.2727272727272728E-2</v>
      </c>
      <c r="F262" s="106" t="s">
        <v>96</v>
      </c>
      <c r="H262" s="61">
        <v>-1.99</v>
      </c>
      <c r="I262" s="61">
        <v>-5.548</v>
      </c>
      <c r="J262" s="61">
        <v>-5.548</v>
      </c>
      <c r="K262" s="86">
        <v>-5.5</v>
      </c>
      <c r="L262" s="86">
        <v>-5.5</v>
      </c>
      <c r="M262" s="61">
        <v>-1.2</v>
      </c>
      <c r="N262" s="61">
        <v>-0.17500000000000004</v>
      </c>
      <c r="O262" s="61">
        <v>-0.16500000000000004</v>
      </c>
      <c r="P262" s="61">
        <v>-5.8000000000000052E-2</v>
      </c>
      <c r="Q262" s="61">
        <v>-0.31099999999999994</v>
      </c>
      <c r="R262" s="61">
        <v>-0.13299999999999979</v>
      </c>
      <c r="S262" s="61">
        <v>-0.37000000000000011</v>
      </c>
      <c r="T262" s="61">
        <v>-0.61100000000000021</v>
      </c>
      <c r="U262" s="61">
        <v>-0.34799999999999986</v>
      </c>
      <c r="V262" s="61">
        <v>-0.17700000000000005</v>
      </c>
      <c r="W262" s="61">
        <v>-0.47999999999999954</v>
      </c>
      <c r="X262" s="61">
        <v>-1.5410000000000004</v>
      </c>
      <c r="Y262" s="61">
        <v>-5.569</v>
      </c>
      <c r="AA262" s="61">
        <v>-5.5</v>
      </c>
      <c r="AB262" s="60">
        <v>-7.0000000000000007E-2</v>
      </c>
      <c r="AD262" s="61">
        <v>-5.5</v>
      </c>
      <c r="AE262" s="60">
        <v>-7.0000000000000007E-2</v>
      </c>
    </row>
    <row r="263" spans="1:31" ht="18" customHeight="1" x14ac:dyDescent="0.2">
      <c r="A263" s="30" t="s">
        <v>74</v>
      </c>
      <c r="B263" s="30" t="s">
        <v>22</v>
      </c>
      <c r="C263" s="4">
        <v>1.1064705882352941</v>
      </c>
      <c r="D263" s="4">
        <v>1.2585714285714287</v>
      </c>
      <c r="F263" s="106" t="s">
        <v>97</v>
      </c>
      <c r="H263" s="61">
        <v>-17.634</v>
      </c>
      <c r="I263" s="61">
        <v>-16.446999999999999</v>
      </c>
      <c r="J263" s="61">
        <v>-16.446999999999999</v>
      </c>
      <c r="K263" s="86">
        <v>-17</v>
      </c>
      <c r="L263" s="86">
        <v>-7</v>
      </c>
      <c r="M263" s="61">
        <v>-1.6970000000000001</v>
      </c>
      <c r="N263" s="61">
        <v>-1.2239999999999998</v>
      </c>
      <c r="O263" s="61">
        <v>12.83</v>
      </c>
      <c r="P263" s="61">
        <v>-0.6379999999999999</v>
      </c>
      <c r="Q263" s="61">
        <v>-0.84500000000000064</v>
      </c>
      <c r="R263" s="61">
        <v>-0.5470000000000006</v>
      </c>
      <c r="S263" s="61">
        <v>-0.72799999999999976</v>
      </c>
      <c r="T263" s="61">
        <v>-0.52499999999999947</v>
      </c>
      <c r="U263" s="61">
        <v>-0.69600000000000062</v>
      </c>
      <c r="V263" s="61">
        <v>-0.60999999999999943</v>
      </c>
      <c r="W263" s="61">
        <v>-2.3650000000000002</v>
      </c>
      <c r="X263" s="61">
        <v>-1.141</v>
      </c>
      <c r="Y263" s="61">
        <v>1.8140000000000001</v>
      </c>
      <c r="AA263" s="61">
        <v>-17</v>
      </c>
      <c r="AB263" s="60">
        <v>18.809999999999999</v>
      </c>
      <c r="AD263" s="61">
        <v>-7</v>
      </c>
      <c r="AE263" s="60">
        <v>8.81</v>
      </c>
    </row>
    <row r="264" spans="1:31" s="253" customFormat="1" ht="18" customHeight="1" x14ac:dyDescent="0.2">
      <c r="A264" s="270" t="s">
        <v>447</v>
      </c>
      <c r="B264" s="254" t="s">
        <v>22</v>
      </c>
      <c r="C264" s="252">
        <v>0</v>
      </c>
      <c r="D264" s="252">
        <v>0</v>
      </c>
      <c r="F264" s="261" t="s">
        <v>446</v>
      </c>
      <c r="H264" s="257">
        <v>0</v>
      </c>
      <c r="I264" s="257">
        <v>0</v>
      </c>
      <c r="J264" s="257">
        <v>0</v>
      </c>
      <c r="K264" s="258">
        <v>0</v>
      </c>
      <c r="L264" s="258">
        <v>0</v>
      </c>
      <c r="M264" s="257">
        <v>0</v>
      </c>
      <c r="N264" s="257">
        <v>0</v>
      </c>
      <c r="O264" s="257">
        <v>0</v>
      </c>
      <c r="P264" s="257">
        <v>0</v>
      </c>
      <c r="Q264" s="257">
        <v>0</v>
      </c>
      <c r="R264" s="257">
        <v>0</v>
      </c>
      <c r="S264" s="257">
        <v>0</v>
      </c>
      <c r="T264" s="257">
        <v>0</v>
      </c>
      <c r="U264" s="257">
        <v>0</v>
      </c>
      <c r="V264" s="257">
        <v>0</v>
      </c>
      <c r="W264" s="257">
        <v>0</v>
      </c>
      <c r="X264" s="257">
        <v>0</v>
      </c>
      <c r="Y264" s="257">
        <v>0</v>
      </c>
      <c r="AA264" s="257">
        <v>0</v>
      </c>
      <c r="AB264" s="256">
        <v>0</v>
      </c>
      <c r="AD264" s="257">
        <v>0</v>
      </c>
      <c r="AE264" s="256">
        <v>0</v>
      </c>
    </row>
    <row r="265" spans="1:31" ht="18" customHeight="1" x14ac:dyDescent="0.2">
      <c r="A265" s="30" t="s">
        <v>197</v>
      </c>
      <c r="B265" s="30" t="s">
        <v>22</v>
      </c>
      <c r="C265" s="4">
        <v>0</v>
      </c>
      <c r="D265" s="4">
        <v>0</v>
      </c>
      <c r="F265" s="106" t="s">
        <v>198</v>
      </c>
      <c r="H265" s="61">
        <v>0</v>
      </c>
      <c r="I265" s="61">
        <v>0</v>
      </c>
      <c r="J265" s="61">
        <v>0</v>
      </c>
      <c r="K265" s="86">
        <v>0</v>
      </c>
      <c r="L265" s="86">
        <v>0</v>
      </c>
      <c r="M265" s="61">
        <v>0</v>
      </c>
      <c r="N265" s="61">
        <v>0</v>
      </c>
      <c r="O265" s="61">
        <v>0</v>
      </c>
      <c r="P265" s="61">
        <v>0</v>
      </c>
      <c r="Q265" s="61">
        <v>0</v>
      </c>
      <c r="R265" s="61">
        <v>0</v>
      </c>
      <c r="S265" s="61">
        <v>0</v>
      </c>
      <c r="T265" s="61">
        <v>0</v>
      </c>
      <c r="U265" s="61">
        <v>0</v>
      </c>
      <c r="V265" s="61">
        <v>0</v>
      </c>
      <c r="W265" s="61">
        <v>0</v>
      </c>
      <c r="X265" s="61">
        <v>0</v>
      </c>
      <c r="Y265" s="61">
        <v>0</v>
      </c>
      <c r="AA265" s="61">
        <v>0</v>
      </c>
      <c r="AB265" s="60">
        <v>0</v>
      </c>
      <c r="AD265" s="61">
        <v>0</v>
      </c>
      <c r="AE265" s="60">
        <v>0</v>
      </c>
    </row>
    <row r="266" spans="1:31" ht="18" customHeight="1" x14ac:dyDescent="0.2">
      <c r="A266" s="30" t="s">
        <v>92</v>
      </c>
      <c r="B266" s="30" t="s">
        <v>22</v>
      </c>
      <c r="C266" s="4">
        <v>-6.9264069264069264E-2</v>
      </c>
      <c r="D266" s="4">
        <v>-3.7825721490613619E-2</v>
      </c>
      <c r="F266" s="106" t="s">
        <v>98</v>
      </c>
      <c r="H266" s="61">
        <v>-11.042999999999999</v>
      </c>
      <c r="I266" s="61">
        <v>-11.381</v>
      </c>
      <c r="J266" s="61">
        <v>-11.381</v>
      </c>
      <c r="K266" s="86">
        <v>-6.93</v>
      </c>
      <c r="L266" s="86">
        <v>-7.1379999999999999</v>
      </c>
      <c r="M266" s="61">
        <v>-0.95499999999999996</v>
      </c>
      <c r="N266" s="61">
        <v>-0.83900000000000008</v>
      </c>
      <c r="O266" s="61">
        <v>-0.89400000000000013</v>
      </c>
      <c r="P266" s="61">
        <v>-0.64500000000000002</v>
      </c>
      <c r="Q266" s="61">
        <v>-0.51200000000000001</v>
      </c>
      <c r="R266" s="61">
        <v>-0.55899999999999972</v>
      </c>
      <c r="S266" s="61">
        <v>-0.5259999999999998</v>
      </c>
      <c r="T266" s="61">
        <v>-0.5550000000000006</v>
      </c>
      <c r="U266" s="61">
        <v>-0.57200000000000006</v>
      </c>
      <c r="V266" s="61">
        <v>-0.45699999999999985</v>
      </c>
      <c r="W266" s="61">
        <v>-0.44599999999999973</v>
      </c>
      <c r="X266" s="61">
        <v>-0.44700000000000006</v>
      </c>
      <c r="Y266" s="61">
        <v>-7.407</v>
      </c>
      <c r="AA266" s="61">
        <v>-6.93</v>
      </c>
      <c r="AB266" s="60">
        <v>-0.48</v>
      </c>
      <c r="AD266" s="61">
        <v>-7.1380000000000008</v>
      </c>
      <c r="AE266" s="60">
        <v>-0.27</v>
      </c>
    </row>
    <row r="267" spans="1:31" ht="18" hidden="1" customHeight="1" outlineLevel="1" x14ac:dyDescent="0.2">
      <c r="A267" s="30" t="s">
        <v>172</v>
      </c>
      <c r="B267" s="30" t="s">
        <v>22</v>
      </c>
      <c r="C267" s="4">
        <v>0</v>
      </c>
      <c r="D267" s="4">
        <v>0</v>
      </c>
      <c r="F267" s="38" t="s">
        <v>173</v>
      </c>
      <c r="G267" s="34"/>
      <c r="H267" s="66">
        <v>0</v>
      </c>
      <c r="I267" s="66">
        <v>0</v>
      </c>
      <c r="J267" s="66">
        <v>0</v>
      </c>
      <c r="K267" s="86">
        <v>0</v>
      </c>
      <c r="L267" s="86">
        <v>0</v>
      </c>
      <c r="M267" s="66">
        <v>0</v>
      </c>
      <c r="N267" s="66">
        <v>0</v>
      </c>
      <c r="O267" s="66">
        <v>0</v>
      </c>
      <c r="P267" s="66">
        <v>0</v>
      </c>
      <c r="Q267" s="66">
        <v>0</v>
      </c>
      <c r="R267" s="66">
        <v>0</v>
      </c>
      <c r="S267" s="66">
        <v>0</v>
      </c>
      <c r="T267" s="66">
        <v>0</v>
      </c>
      <c r="U267" s="66">
        <v>0</v>
      </c>
      <c r="V267" s="66">
        <v>0</v>
      </c>
      <c r="W267" s="66">
        <v>0</v>
      </c>
      <c r="X267" s="66">
        <v>0</v>
      </c>
      <c r="Y267" s="66">
        <v>0</v>
      </c>
      <c r="Z267" s="34"/>
      <c r="AA267" s="66">
        <v>0</v>
      </c>
      <c r="AB267" s="60">
        <v>0</v>
      </c>
      <c r="AC267" s="34"/>
      <c r="AD267" s="66">
        <v>0</v>
      </c>
      <c r="AE267" s="60">
        <v>0</v>
      </c>
    </row>
    <row r="268" spans="1:31" ht="18" hidden="1" customHeight="1" outlineLevel="1" x14ac:dyDescent="0.2">
      <c r="A268" s="30" t="s">
        <v>88</v>
      </c>
      <c r="B268" s="30" t="s">
        <v>22</v>
      </c>
      <c r="C268" s="4">
        <v>0</v>
      </c>
      <c r="D268" s="4">
        <v>0</v>
      </c>
      <c r="F268" s="38" t="s">
        <v>93</v>
      </c>
      <c r="G268" s="34"/>
      <c r="H268" s="66">
        <v>0</v>
      </c>
      <c r="I268" s="66">
        <v>0</v>
      </c>
      <c r="J268" s="66">
        <v>0</v>
      </c>
      <c r="K268" s="86">
        <v>0</v>
      </c>
      <c r="L268" s="86">
        <v>0</v>
      </c>
      <c r="M268" s="66">
        <v>0</v>
      </c>
      <c r="N268" s="66">
        <v>0</v>
      </c>
      <c r="O268" s="66">
        <v>0</v>
      </c>
      <c r="P268" s="66">
        <v>0</v>
      </c>
      <c r="Q268" s="66">
        <v>0</v>
      </c>
      <c r="R268" s="66">
        <v>0</v>
      </c>
      <c r="S268" s="66">
        <v>0</v>
      </c>
      <c r="T268" s="66">
        <v>0</v>
      </c>
      <c r="U268" s="66">
        <v>0</v>
      </c>
      <c r="V268" s="66">
        <v>0</v>
      </c>
      <c r="W268" s="66">
        <v>0</v>
      </c>
      <c r="X268" s="66">
        <v>0</v>
      </c>
      <c r="Y268" s="66">
        <v>0</v>
      </c>
      <c r="Z268" s="34"/>
      <c r="AA268" s="66">
        <v>0</v>
      </c>
      <c r="AB268" s="60">
        <v>0</v>
      </c>
      <c r="AC268" s="34"/>
      <c r="AD268" s="66">
        <v>0</v>
      </c>
      <c r="AE268" s="60">
        <v>0</v>
      </c>
    </row>
    <row r="269" spans="1:31" ht="18" hidden="1" customHeight="1" outlineLevel="1" x14ac:dyDescent="0.2">
      <c r="A269" s="30" t="s">
        <v>174</v>
      </c>
      <c r="B269" s="30" t="s">
        <v>22</v>
      </c>
      <c r="C269" s="4">
        <v>-0.96491228070175439</v>
      </c>
      <c r="D269" s="4">
        <v>-0.96491228070175439</v>
      </c>
      <c r="F269" s="38" t="s">
        <v>175</v>
      </c>
      <c r="G269" s="34"/>
      <c r="H269" s="66">
        <v>0</v>
      </c>
      <c r="I269" s="66">
        <v>0</v>
      </c>
      <c r="J269" s="66">
        <v>0</v>
      </c>
      <c r="K269" s="86">
        <v>0</v>
      </c>
      <c r="L269" s="86">
        <v>0</v>
      </c>
      <c r="M269" s="66">
        <v>0</v>
      </c>
      <c r="N269" s="66">
        <v>0</v>
      </c>
      <c r="O269" s="66">
        <v>0</v>
      </c>
      <c r="P269" s="66">
        <v>0</v>
      </c>
      <c r="Q269" s="66">
        <v>0</v>
      </c>
      <c r="R269" s="66">
        <v>0</v>
      </c>
      <c r="S269" s="66">
        <v>0</v>
      </c>
      <c r="T269" s="66">
        <v>0</v>
      </c>
      <c r="U269" s="66">
        <v>0</v>
      </c>
      <c r="V269" s="66">
        <v>0</v>
      </c>
      <c r="W269" s="66">
        <v>-0.114</v>
      </c>
      <c r="X269" s="66">
        <v>0</v>
      </c>
      <c r="Y269" s="66">
        <v>-0.114</v>
      </c>
      <c r="Z269" s="34"/>
      <c r="AA269" s="66">
        <v>0</v>
      </c>
      <c r="AB269" s="60">
        <v>-0.11</v>
      </c>
      <c r="AC269" s="34"/>
      <c r="AD269" s="66">
        <v>0</v>
      </c>
      <c r="AE269" s="60">
        <v>-0.11</v>
      </c>
    </row>
    <row r="270" spans="1:31" ht="18" hidden="1" customHeight="1" outlineLevel="1" x14ac:dyDescent="0.2">
      <c r="A270" s="30" t="s">
        <v>191</v>
      </c>
      <c r="B270" s="30" t="s">
        <v>22</v>
      </c>
      <c r="C270" s="4">
        <v>0</v>
      </c>
      <c r="D270" s="4">
        <v>0</v>
      </c>
      <c r="F270" s="38" t="s">
        <v>192</v>
      </c>
      <c r="G270" s="34"/>
      <c r="H270" s="66">
        <v>0</v>
      </c>
      <c r="I270" s="66">
        <v>0</v>
      </c>
      <c r="J270" s="66">
        <v>0</v>
      </c>
      <c r="K270" s="86">
        <v>0</v>
      </c>
      <c r="L270" s="86">
        <v>0</v>
      </c>
      <c r="M270" s="66">
        <v>0</v>
      </c>
      <c r="N270" s="66">
        <v>0</v>
      </c>
      <c r="O270" s="66">
        <v>0</v>
      </c>
      <c r="P270" s="66">
        <v>0</v>
      </c>
      <c r="Q270" s="66">
        <v>0</v>
      </c>
      <c r="R270" s="66">
        <v>0</v>
      </c>
      <c r="S270" s="66">
        <v>0</v>
      </c>
      <c r="T270" s="66">
        <v>0</v>
      </c>
      <c r="U270" s="66">
        <v>0</v>
      </c>
      <c r="V270" s="66">
        <v>0</v>
      </c>
      <c r="W270" s="66">
        <v>0</v>
      </c>
      <c r="X270" s="66">
        <v>0</v>
      </c>
      <c r="Y270" s="66">
        <v>0</v>
      </c>
      <c r="Z270" s="34"/>
      <c r="AA270" s="66">
        <v>0</v>
      </c>
      <c r="AB270" s="60">
        <v>0</v>
      </c>
      <c r="AC270" s="34"/>
      <c r="AD270" s="66">
        <v>0</v>
      </c>
      <c r="AE270" s="60">
        <v>0</v>
      </c>
    </row>
    <row r="271" spans="1:31" ht="18" hidden="1" customHeight="1" outlineLevel="1" x14ac:dyDescent="0.2">
      <c r="A271" s="30" t="s">
        <v>130</v>
      </c>
      <c r="B271" s="30" t="s">
        <v>22</v>
      </c>
      <c r="C271" s="4">
        <v>-1.0009861932938855</v>
      </c>
      <c r="D271" s="4">
        <v>-1.4999999999999999E-2</v>
      </c>
      <c r="F271" s="38" t="s">
        <v>176</v>
      </c>
      <c r="G271" s="34"/>
      <c r="H271" s="66">
        <v>-1.5</v>
      </c>
      <c r="I271" s="66">
        <v>0</v>
      </c>
      <c r="J271" s="66">
        <v>0</v>
      </c>
      <c r="K271" s="86">
        <v>0</v>
      </c>
      <c r="L271" s="86">
        <v>-2</v>
      </c>
      <c r="M271" s="66">
        <v>-2.028</v>
      </c>
      <c r="N271" s="66">
        <v>0</v>
      </c>
      <c r="O271" s="66">
        <v>0</v>
      </c>
      <c r="P271" s="66">
        <v>0</v>
      </c>
      <c r="Q271" s="66">
        <v>0</v>
      </c>
      <c r="R271" s="66">
        <v>0</v>
      </c>
      <c r="S271" s="66">
        <v>0</v>
      </c>
      <c r="T271" s="66">
        <v>0</v>
      </c>
      <c r="U271" s="66">
        <v>0</v>
      </c>
      <c r="V271" s="66">
        <v>0</v>
      </c>
      <c r="W271" s="66">
        <v>0</v>
      </c>
      <c r="X271" s="66">
        <v>0</v>
      </c>
      <c r="Y271" s="66">
        <v>-2.028</v>
      </c>
      <c r="Z271" s="34"/>
      <c r="AA271" s="66">
        <v>0</v>
      </c>
      <c r="AB271" s="60">
        <v>-2.0299999999999998</v>
      </c>
      <c r="AC271" s="34"/>
      <c r="AD271" s="66">
        <v>-2</v>
      </c>
      <c r="AE271" s="60">
        <v>-0.03</v>
      </c>
    </row>
    <row r="272" spans="1:31" ht="18" hidden="1" customHeight="1" outlineLevel="1" x14ac:dyDescent="0.2">
      <c r="A272" s="30" t="s">
        <v>177</v>
      </c>
      <c r="B272" s="30" t="s">
        <v>22</v>
      </c>
      <c r="C272" s="4">
        <v>0</v>
      </c>
      <c r="D272" s="4">
        <v>0</v>
      </c>
      <c r="F272" s="38" t="s">
        <v>178</v>
      </c>
      <c r="G272" s="34"/>
      <c r="H272" s="66">
        <v>0</v>
      </c>
      <c r="I272" s="66">
        <v>0</v>
      </c>
      <c r="J272" s="66">
        <v>0</v>
      </c>
      <c r="K272" s="86">
        <v>0</v>
      </c>
      <c r="L272" s="86">
        <v>0</v>
      </c>
      <c r="M272" s="66">
        <v>0</v>
      </c>
      <c r="N272" s="66">
        <v>0</v>
      </c>
      <c r="O272" s="66">
        <v>0</v>
      </c>
      <c r="P272" s="66">
        <v>0</v>
      </c>
      <c r="Q272" s="66">
        <v>0</v>
      </c>
      <c r="R272" s="66">
        <v>0</v>
      </c>
      <c r="S272" s="66">
        <v>0</v>
      </c>
      <c r="T272" s="66">
        <v>0</v>
      </c>
      <c r="U272" s="66">
        <v>0</v>
      </c>
      <c r="V272" s="66">
        <v>0</v>
      </c>
      <c r="W272" s="66">
        <v>0</v>
      </c>
      <c r="X272" s="66">
        <v>0</v>
      </c>
      <c r="Y272" s="66">
        <v>0</v>
      </c>
      <c r="Z272" s="34"/>
      <c r="AA272" s="66">
        <v>0</v>
      </c>
      <c r="AB272" s="60">
        <v>0</v>
      </c>
      <c r="AC272" s="34"/>
      <c r="AD272" s="66">
        <v>0</v>
      </c>
      <c r="AE272" s="60">
        <v>0</v>
      </c>
    </row>
    <row r="273" spans="1:31" ht="18" hidden="1" customHeight="1" outlineLevel="1" x14ac:dyDescent="0.2">
      <c r="A273" s="30" t="s">
        <v>179</v>
      </c>
      <c r="B273" s="30" t="s">
        <v>22</v>
      </c>
      <c r="C273" s="4">
        <v>0</v>
      </c>
      <c r="D273" s="4">
        <v>0</v>
      </c>
      <c r="F273" s="38" t="s">
        <v>180</v>
      </c>
      <c r="G273" s="34"/>
      <c r="H273" s="66">
        <v>0</v>
      </c>
      <c r="I273" s="66">
        <v>-1.7000000000000001E-2</v>
      </c>
      <c r="J273" s="66">
        <v>-1.7000000000000001E-2</v>
      </c>
      <c r="K273" s="86">
        <v>0</v>
      </c>
      <c r="L273" s="86">
        <v>0</v>
      </c>
      <c r="M273" s="66">
        <v>0</v>
      </c>
      <c r="N273" s="66">
        <v>0</v>
      </c>
      <c r="O273" s="66">
        <v>0</v>
      </c>
      <c r="P273" s="66">
        <v>0</v>
      </c>
      <c r="Q273" s="66">
        <v>0</v>
      </c>
      <c r="R273" s="66">
        <v>0</v>
      </c>
      <c r="S273" s="66">
        <v>0</v>
      </c>
      <c r="T273" s="66">
        <v>0</v>
      </c>
      <c r="U273" s="66">
        <v>0</v>
      </c>
      <c r="V273" s="66">
        <v>0</v>
      </c>
      <c r="W273" s="66">
        <v>0</v>
      </c>
      <c r="X273" s="66">
        <v>0</v>
      </c>
      <c r="Y273" s="66">
        <v>0</v>
      </c>
      <c r="Z273" s="34"/>
      <c r="AA273" s="66">
        <v>0</v>
      </c>
      <c r="AB273" s="60">
        <v>0</v>
      </c>
      <c r="AC273" s="34"/>
      <c r="AD273" s="66">
        <v>0</v>
      </c>
      <c r="AE273" s="60">
        <v>0</v>
      </c>
    </row>
    <row r="274" spans="1:31" ht="18" hidden="1" customHeight="1" outlineLevel="1" x14ac:dyDescent="0.2">
      <c r="A274" s="30" t="s">
        <v>89</v>
      </c>
      <c r="B274" s="30" t="s">
        <v>22</v>
      </c>
      <c r="C274" s="4">
        <v>-1</v>
      </c>
      <c r="D274" s="4">
        <v>-1</v>
      </c>
      <c r="F274" s="38" t="s">
        <v>187</v>
      </c>
      <c r="G274" s="34"/>
      <c r="H274" s="66">
        <v>0</v>
      </c>
      <c r="I274" s="66">
        <v>0</v>
      </c>
      <c r="J274" s="66">
        <v>0</v>
      </c>
      <c r="K274" s="86">
        <v>0</v>
      </c>
      <c r="L274" s="86">
        <v>0</v>
      </c>
      <c r="M274" s="66">
        <v>0</v>
      </c>
      <c r="N274" s="66">
        <v>0</v>
      </c>
      <c r="O274" s="66">
        <v>0</v>
      </c>
      <c r="P274" s="66">
        <v>0</v>
      </c>
      <c r="Q274" s="66">
        <v>0</v>
      </c>
      <c r="R274" s="66">
        <v>0</v>
      </c>
      <c r="S274" s="66">
        <v>0</v>
      </c>
      <c r="T274" s="66">
        <v>-0.01</v>
      </c>
      <c r="U274" s="66">
        <v>0</v>
      </c>
      <c r="V274" s="66">
        <v>0</v>
      </c>
      <c r="W274" s="66">
        <v>0</v>
      </c>
      <c r="X274" s="66">
        <v>0</v>
      </c>
      <c r="Y274" s="66">
        <v>-0.01</v>
      </c>
      <c r="Z274" s="34"/>
      <c r="AA274" s="66">
        <v>0</v>
      </c>
      <c r="AB274" s="60">
        <v>-0.01</v>
      </c>
      <c r="AC274" s="34"/>
      <c r="AD274" s="66">
        <v>0</v>
      </c>
      <c r="AE274" s="60">
        <v>-0.01</v>
      </c>
    </row>
    <row r="275" spans="1:31" ht="18" hidden="1" customHeight="1" outlineLevel="1" x14ac:dyDescent="0.2">
      <c r="A275" s="30" t="s">
        <v>193</v>
      </c>
      <c r="B275" s="30" t="s">
        <v>22</v>
      </c>
      <c r="C275" s="4">
        <v>0</v>
      </c>
      <c r="D275" s="4">
        <v>0</v>
      </c>
      <c r="F275" s="38" t="s">
        <v>194</v>
      </c>
      <c r="G275" s="34"/>
      <c r="H275" s="66">
        <v>0</v>
      </c>
      <c r="I275" s="66">
        <v>0</v>
      </c>
      <c r="J275" s="66">
        <v>0</v>
      </c>
      <c r="K275" s="86">
        <v>0</v>
      </c>
      <c r="L275" s="86">
        <v>0</v>
      </c>
      <c r="M275" s="66">
        <v>0</v>
      </c>
      <c r="N275" s="66">
        <v>0</v>
      </c>
      <c r="O275" s="66">
        <v>0</v>
      </c>
      <c r="P275" s="66">
        <v>0</v>
      </c>
      <c r="Q275" s="66">
        <v>0</v>
      </c>
      <c r="R275" s="66">
        <v>0</v>
      </c>
      <c r="S275" s="66">
        <v>0</v>
      </c>
      <c r="T275" s="66">
        <v>0</v>
      </c>
      <c r="U275" s="66">
        <v>0</v>
      </c>
      <c r="V275" s="66">
        <v>0</v>
      </c>
      <c r="W275" s="66">
        <v>0</v>
      </c>
      <c r="X275" s="66">
        <v>0</v>
      </c>
      <c r="Y275" s="66">
        <v>0</v>
      </c>
      <c r="Z275" s="34"/>
      <c r="AA275" s="66">
        <v>0</v>
      </c>
      <c r="AB275" s="60">
        <v>0</v>
      </c>
      <c r="AC275" s="34"/>
      <c r="AD275" s="66">
        <v>0</v>
      </c>
      <c r="AE275" s="60">
        <v>0</v>
      </c>
    </row>
    <row r="276" spans="1:31" ht="18" hidden="1" customHeight="1" outlineLevel="1" x14ac:dyDescent="0.2">
      <c r="A276" s="30" t="s">
        <v>127</v>
      </c>
      <c r="B276" s="30" t="s">
        <v>22</v>
      </c>
      <c r="C276" s="4">
        <v>0</v>
      </c>
      <c r="D276" s="4">
        <v>0</v>
      </c>
      <c r="F276" s="38" t="s">
        <v>128</v>
      </c>
      <c r="G276" s="34"/>
      <c r="H276" s="66">
        <v>0</v>
      </c>
      <c r="I276" s="66">
        <v>-0.45800000000000002</v>
      </c>
      <c r="J276" s="66">
        <v>-0.45800000000000002</v>
      </c>
      <c r="K276" s="86">
        <v>0</v>
      </c>
      <c r="L276" s="86">
        <v>0</v>
      </c>
      <c r="M276" s="66">
        <v>0</v>
      </c>
      <c r="N276" s="66">
        <v>0</v>
      </c>
      <c r="O276" s="66">
        <v>0</v>
      </c>
      <c r="P276" s="66">
        <v>0</v>
      </c>
      <c r="Q276" s="66">
        <v>0</v>
      </c>
      <c r="R276" s="66">
        <v>0</v>
      </c>
      <c r="S276" s="66">
        <v>0</v>
      </c>
      <c r="T276" s="66">
        <v>0</v>
      </c>
      <c r="U276" s="66">
        <v>0</v>
      </c>
      <c r="V276" s="66">
        <v>0</v>
      </c>
      <c r="W276" s="66">
        <v>0</v>
      </c>
      <c r="X276" s="66">
        <v>0</v>
      </c>
      <c r="Y276" s="66">
        <v>0</v>
      </c>
      <c r="Z276" s="34"/>
      <c r="AA276" s="66">
        <v>0</v>
      </c>
      <c r="AB276" s="60">
        <v>0</v>
      </c>
      <c r="AC276" s="34"/>
      <c r="AD276" s="66">
        <v>0</v>
      </c>
      <c r="AE276" s="60">
        <v>0</v>
      </c>
    </row>
    <row r="277" spans="1:31" ht="18" hidden="1" customHeight="1" outlineLevel="1" x14ac:dyDescent="0.2">
      <c r="A277" s="30" t="s">
        <v>261</v>
      </c>
      <c r="B277" s="30" t="s">
        <v>22</v>
      </c>
      <c r="C277" s="4">
        <v>0</v>
      </c>
      <c r="D277" s="4">
        <v>0</v>
      </c>
      <c r="F277" s="38" t="s">
        <v>262</v>
      </c>
      <c r="G277" s="34"/>
      <c r="H277" s="66">
        <v>0</v>
      </c>
      <c r="I277" s="66">
        <v>0</v>
      </c>
      <c r="J277" s="66">
        <v>0</v>
      </c>
      <c r="K277" s="86">
        <v>0</v>
      </c>
      <c r="L277" s="86">
        <v>0</v>
      </c>
      <c r="M277" s="66">
        <v>0</v>
      </c>
      <c r="N277" s="66">
        <v>0</v>
      </c>
      <c r="O277" s="66">
        <v>0</v>
      </c>
      <c r="P277" s="66">
        <v>0</v>
      </c>
      <c r="Q277" s="66">
        <v>0</v>
      </c>
      <c r="R277" s="66">
        <v>0</v>
      </c>
      <c r="S277" s="66">
        <v>0</v>
      </c>
      <c r="T277" s="66">
        <v>0</v>
      </c>
      <c r="U277" s="66">
        <v>0</v>
      </c>
      <c r="V277" s="66">
        <v>0</v>
      </c>
      <c r="W277" s="66">
        <v>0</v>
      </c>
      <c r="X277" s="66">
        <v>0</v>
      </c>
      <c r="Y277" s="66">
        <v>0</v>
      </c>
      <c r="Z277" s="34"/>
      <c r="AA277" s="66">
        <v>0</v>
      </c>
      <c r="AB277" s="60">
        <v>0</v>
      </c>
      <c r="AC277" s="34"/>
      <c r="AD277" s="66">
        <v>0</v>
      </c>
      <c r="AE277" s="60">
        <v>0</v>
      </c>
    </row>
    <row r="278" spans="1:31" ht="18" hidden="1" customHeight="1" outlineLevel="1" x14ac:dyDescent="0.2">
      <c r="A278" s="30" t="s">
        <v>263</v>
      </c>
      <c r="B278" s="30" t="s">
        <v>22</v>
      </c>
      <c r="C278" s="4">
        <v>0</v>
      </c>
      <c r="D278" s="4">
        <v>0</v>
      </c>
      <c r="F278" s="38" t="s">
        <v>264</v>
      </c>
      <c r="G278" s="34"/>
      <c r="H278" s="66">
        <v>0</v>
      </c>
      <c r="I278" s="66">
        <v>0</v>
      </c>
      <c r="J278" s="66">
        <v>0</v>
      </c>
      <c r="K278" s="86">
        <v>0</v>
      </c>
      <c r="L278" s="86">
        <v>0</v>
      </c>
      <c r="M278" s="66">
        <v>0</v>
      </c>
      <c r="N278" s="66">
        <v>0</v>
      </c>
      <c r="O278" s="66">
        <v>0</v>
      </c>
      <c r="P278" s="66">
        <v>0</v>
      </c>
      <c r="Q278" s="66">
        <v>0</v>
      </c>
      <c r="R278" s="66">
        <v>0</v>
      </c>
      <c r="S278" s="66">
        <v>0</v>
      </c>
      <c r="T278" s="66">
        <v>0</v>
      </c>
      <c r="U278" s="66">
        <v>0</v>
      </c>
      <c r="V278" s="66">
        <v>0</v>
      </c>
      <c r="W278" s="66">
        <v>0</v>
      </c>
      <c r="X278" s="66">
        <v>0</v>
      </c>
      <c r="Y278" s="66">
        <v>0</v>
      </c>
      <c r="Z278" s="34"/>
      <c r="AA278" s="66">
        <v>0</v>
      </c>
      <c r="AB278" s="60">
        <v>0</v>
      </c>
      <c r="AC278" s="34"/>
      <c r="AD278" s="66">
        <v>0</v>
      </c>
      <c r="AE278" s="60">
        <v>0</v>
      </c>
    </row>
    <row r="279" spans="1:31" ht="18" hidden="1" customHeight="1" outlineLevel="1" x14ac:dyDescent="0.2">
      <c r="A279" s="30" t="s">
        <v>195</v>
      </c>
      <c r="B279" s="30" t="s">
        <v>22</v>
      </c>
      <c r="C279" s="4">
        <v>0</v>
      </c>
      <c r="D279" s="4">
        <v>0</v>
      </c>
      <c r="F279" s="38" t="s">
        <v>196</v>
      </c>
      <c r="G279" s="34"/>
      <c r="H279" s="66">
        <v>0</v>
      </c>
      <c r="I279" s="66">
        <v>0</v>
      </c>
      <c r="J279" s="66">
        <v>0</v>
      </c>
      <c r="K279" s="86">
        <v>0</v>
      </c>
      <c r="L279" s="86">
        <v>0</v>
      </c>
      <c r="M279" s="66">
        <v>0</v>
      </c>
      <c r="N279" s="66">
        <v>0</v>
      </c>
      <c r="O279" s="66">
        <v>0</v>
      </c>
      <c r="P279" s="66">
        <v>0</v>
      </c>
      <c r="Q279" s="66">
        <v>0</v>
      </c>
      <c r="R279" s="66">
        <v>0</v>
      </c>
      <c r="S279" s="66">
        <v>0</v>
      </c>
      <c r="T279" s="66">
        <v>0</v>
      </c>
      <c r="U279" s="66">
        <v>0</v>
      </c>
      <c r="V279" s="66">
        <v>0</v>
      </c>
      <c r="W279" s="66">
        <v>0</v>
      </c>
      <c r="X279" s="66">
        <v>0</v>
      </c>
      <c r="Y279" s="66">
        <v>0</v>
      </c>
      <c r="Z279" s="34"/>
      <c r="AA279" s="66">
        <v>0</v>
      </c>
      <c r="AB279" s="60">
        <v>0</v>
      </c>
      <c r="AC279" s="34"/>
      <c r="AD279" s="66">
        <v>0</v>
      </c>
      <c r="AE279" s="60">
        <v>0</v>
      </c>
    </row>
    <row r="280" spans="1:31" ht="18" hidden="1" customHeight="1" outlineLevel="1" x14ac:dyDescent="0.2">
      <c r="A280" s="30" t="s">
        <v>200</v>
      </c>
      <c r="B280" s="30" t="s">
        <v>22</v>
      </c>
      <c r="C280" s="4">
        <v>0</v>
      </c>
      <c r="D280" s="4">
        <v>0</v>
      </c>
      <c r="F280" s="104" t="s">
        <v>183</v>
      </c>
      <c r="G280" s="36"/>
      <c r="H280" s="65">
        <v>0</v>
      </c>
      <c r="I280" s="65">
        <v>0</v>
      </c>
      <c r="J280" s="65">
        <v>0</v>
      </c>
      <c r="K280" s="90">
        <v>0</v>
      </c>
      <c r="L280" s="90">
        <v>0</v>
      </c>
      <c r="M280" s="65">
        <v>0</v>
      </c>
      <c r="N280" s="65">
        <v>0</v>
      </c>
      <c r="O280" s="65">
        <v>0</v>
      </c>
      <c r="P280" s="65">
        <v>0</v>
      </c>
      <c r="Q280" s="65">
        <v>0</v>
      </c>
      <c r="R280" s="65">
        <v>0</v>
      </c>
      <c r="S280" s="65">
        <v>0</v>
      </c>
      <c r="T280" s="65">
        <v>0</v>
      </c>
      <c r="U280" s="65">
        <v>0</v>
      </c>
      <c r="V280" s="65">
        <v>0</v>
      </c>
      <c r="W280" s="65">
        <v>0</v>
      </c>
      <c r="X280" s="65">
        <v>0</v>
      </c>
      <c r="Y280" s="65">
        <v>0</v>
      </c>
      <c r="Z280" s="36"/>
      <c r="AA280" s="65">
        <v>0</v>
      </c>
      <c r="AB280" s="60">
        <v>0</v>
      </c>
      <c r="AC280" s="36"/>
      <c r="AD280" s="65">
        <v>0</v>
      </c>
      <c r="AE280" s="60">
        <v>0</v>
      </c>
    </row>
    <row r="281" spans="1:31" ht="18" hidden="1" customHeight="1" outlineLevel="1" x14ac:dyDescent="0.2">
      <c r="A281" s="30" t="s">
        <v>199</v>
      </c>
      <c r="B281" s="30" t="s">
        <v>22</v>
      </c>
      <c r="C281" s="4">
        <v>0</v>
      </c>
      <c r="D281" s="4">
        <v>0</v>
      </c>
      <c r="F281" s="38" t="s">
        <v>184</v>
      </c>
      <c r="G281" s="34"/>
      <c r="H281" s="66">
        <v>0</v>
      </c>
      <c r="I281" s="66">
        <v>0</v>
      </c>
      <c r="J281" s="66">
        <v>0</v>
      </c>
      <c r="K281" s="86">
        <v>0</v>
      </c>
      <c r="L281" s="86">
        <v>0</v>
      </c>
      <c r="M281" s="66">
        <v>0</v>
      </c>
      <c r="N281" s="66">
        <v>0</v>
      </c>
      <c r="O281" s="66">
        <v>0</v>
      </c>
      <c r="P281" s="66">
        <v>0</v>
      </c>
      <c r="Q281" s="66">
        <v>0</v>
      </c>
      <c r="R281" s="66">
        <v>0</v>
      </c>
      <c r="S281" s="66">
        <v>0</v>
      </c>
      <c r="T281" s="66">
        <v>0</v>
      </c>
      <c r="U281" s="66">
        <v>0</v>
      </c>
      <c r="V281" s="66">
        <v>0</v>
      </c>
      <c r="W281" s="66">
        <v>0</v>
      </c>
      <c r="X281" s="66">
        <v>0</v>
      </c>
      <c r="Y281" s="66">
        <v>0</v>
      </c>
      <c r="Z281" s="34"/>
      <c r="AA281" s="66">
        <v>0</v>
      </c>
      <c r="AB281" s="60">
        <v>0</v>
      </c>
      <c r="AC281" s="34"/>
      <c r="AD281" s="66">
        <v>0</v>
      </c>
      <c r="AE281" s="60">
        <v>0</v>
      </c>
    </row>
    <row r="282" spans="1:31" s="253" customFormat="1" ht="18" hidden="1" customHeight="1" outlineLevel="1" x14ac:dyDescent="0.2">
      <c r="A282" s="276" t="s">
        <v>445</v>
      </c>
      <c r="B282" s="276" t="s">
        <v>22</v>
      </c>
      <c r="C282" s="252">
        <v>-1.001890359168242</v>
      </c>
      <c r="D282" s="252">
        <v>0</v>
      </c>
      <c r="F282" s="255" t="s">
        <v>452</v>
      </c>
      <c r="G282" s="239"/>
      <c r="H282" s="241">
        <v>0</v>
      </c>
      <c r="I282" s="241">
        <v>-0.17</v>
      </c>
      <c r="J282" s="241">
        <v>-0.17</v>
      </c>
      <c r="K282" s="258">
        <v>0</v>
      </c>
      <c r="L282" s="258">
        <v>-1.5</v>
      </c>
      <c r="M282" s="241">
        <v>-4.7E-2</v>
      </c>
      <c r="N282" s="241">
        <v>-4.7E-2</v>
      </c>
      <c r="O282" s="241">
        <v>-4.8999999999999988E-2</v>
      </c>
      <c r="P282" s="241">
        <v>-4.8000000000000015E-2</v>
      </c>
      <c r="Q282" s="241">
        <v>-1.0509999999999999</v>
      </c>
      <c r="R282" s="241">
        <v>-4.8999999999999932E-2</v>
      </c>
      <c r="S282" s="241">
        <v>-4.9000000000000155E-2</v>
      </c>
      <c r="T282" s="241">
        <v>-4.6999999999999931E-2</v>
      </c>
      <c r="U282" s="241">
        <v>-5.0000000000000044E-2</v>
      </c>
      <c r="V282" s="241">
        <v>-4.8999999999999932E-2</v>
      </c>
      <c r="W282" s="241">
        <v>-5.0000000000000044E-2</v>
      </c>
      <c r="X282" s="241">
        <v>-5.0999999999999934E-2</v>
      </c>
      <c r="Y282" s="241">
        <v>-1.587</v>
      </c>
      <c r="Z282" s="239"/>
      <c r="AA282" s="241">
        <v>0</v>
      </c>
      <c r="AB282" s="256">
        <v>-1.59</v>
      </c>
      <c r="AC282" s="239"/>
      <c r="AD282" s="241"/>
      <c r="AE282" s="256"/>
    </row>
    <row r="283" spans="1:31" ht="18" hidden="1" customHeight="1" outlineLevel="1" x14ac:dyDescent="0.2">
      <c r="A283" s="30" t="s">
        <v>185</v>
      </c>
      <c r="B283" s="30" t="s">
        <v>22</v>
      </c>
      <c r="C283" s="4">
        <v>0</v>
      </c>
      <c r="D283" s="4">
        <v>0</v>
      </c>
      <c r="F283" s="38" t="s">
        <v>186</v>
      </c>
      <c r="G283" s="34"/>
      <c r="H283" s="66">
        <v>0</v>
      </c>
      <c r="I283" s="66">
        <v>69.036000000000001</v>
      </c>
      <c r="J283" s="66">
        <v>69.036000000000001</v>
      </c>
      <c r="K283" s="86">
        <v>0</v>
      </c>
      <c r="L283" s="86">
        <v>0</v>
      </c>
      <c r="M283" s="66">
        <v>0</v>
      </c>
      <c r="N283" s="66">
        <v>0</v>
      </c>
      <c r="O283" s="66">
        <v>0</v>
      </c>
      <c r="P283" s="66">
        <v>0</v>
      </c>
      <c r="Q283" s="66">
        <v>0</v>
      </c>
      <c r="R283" s="66">
        <v>0</v>
      </c>
      <c r="S283" s="66">
        <v>0</v>
      </c>
      <c r="T283" s="66">
        <v>0</v>
      </c>
      <c r="U283" s="66">
        <v>0</v>
      </c>
      <c r="V283" s="66">
        <v>0</v>
      </c>
      <c r="W283" s="66">
        <v>0</v>
      </c>
      <c r="X283" s="66">
        <v>0</v>
      </c>
      <c r="Y283" s="66">
        <v>0</v>
      </c>
      <c r="Z283" s="34"/>
      <c r="AA283" s="66">
        <v>0</v>
      </c>
      <c r="AB283" s="60">
        <v>0</v>
      </c>
      <c r="AC283" s="34"/>
      <c r="AD283" s="66">
        <v>0</v>
      </c>
      <c r="AE283" s="60">
        <v>0</v>
      </c>
    </row>
    <row r="284" spans="1:31" ht="18" hidden="1" customHeight="1" outlineLevel="1" x14ac:dyDescent="0.2">
      <c r="A284" s="30" t="s">
        <v>125</v>
      </c>
      <c r="B284" s="30" t="s">
        <v>22</v>
      </c>
      <c r="C284" s="4">
        <v>1.0149999999999999</v>
      </c>
      <c r="D284" s="4">
        <v>1.1111111111111112</v>
      </c>
      <c r="F284" s="38" t="s">
        <v>126</v>
      </c>
      <c r="G284" s="34"/>
      <c r="H284" s="66">
        <v>-3.335</v>
      </c>
      <c r="I284" s="66">
        <v>-2.1320000000000001</v>
      </c>
      <c r="J284" s="66">
        <v>-2.1320000000000001</v>
      </c>
      <c r="K284" s="86">
        <v>-2</v>
      </c>
      <c r="L284" s="86">
        <v>0</v>
      </c>
      <c r="M284" s="66">
        <v>2.7E-2</v>
      </c>
      <c r="N284" s="66">
        <v>0</v>
      </c>
      <c r="O284" s="66">
        <v>0</v>
      </c>
      <c r="P284" s="66">
        <v>0</v>
      </c>
      <c r="Q284" s="66">
        <v>0</v>
      </c>
      <c r="R284" s="66">
        <v>0</v>
      </c>
      <c r="S284" s="66">
        <v>0</v>
      </c>
      <c r="T284" s="66">
        <v>0</v>
      </c>
      <c r="U284" s="66">
        <v>0</v>
      </c>
      <c r="V284" s="66">
        <v>0</v>
      </c>
      <c r="W284" s="66">
        <v>0</v>
      </c>
      <c r="X284" s="66">
        <v>0</v>
      </c>
      <c r="Y284" s="66">
        <v>2.7E-2</v>
      </c>
      <c r="Z284" s="34"/>
      <c r="AA284" s="66">
        <v>-2</v>
      </c>
      <c r="AB284" s="60">
        <v>2.0299999999999998</v>
      </c>
      <c r="AC284" s="34"/>
      <c r="AD284" s="66">
        <v>0</v>
      </c>
      <c r="AE284" s="60">
        <v>0.03</v>
      </c>
    </row>
    <row r="285" spans="1:31" ht="18" customHeight="1" collapsed="1" x14ac:dyDescent="0.2">
      <c r="A285" s="35"/>
      <c r="B285" s="35"/>
      <c r="C285" s="4">
        <v>-0.85499999999999998</v>
      </c>
      <c r="D285" s="4">
        <v>-0.06</v>
      </c>
      <c r="F285" s="106" t="s">
        <v>69</v>
      </c>
      <c r="H285" s="61">
        <v>-4.835</v>
      </c>
      <c r="I285" s="61">
        <v>66.259</v>
      </c>
      <c r="J285" s="61">
        <v>66.259</v>
      </c>
      <c r="K285" s="86">
        <v>-2</v>
      </c>
      <c r="L285" s="86">
        <v>-3.5</v>
      </c>
      <c r="M285" s="61">
        <v>-2.048</v>
      </c>
      <c r="N285" s="61">
        <v>-4.7E-2</v>
      </c>
      <c r="O285" s="61">
        <v>-4.8999999999999988E-2</v>
      </c>
      <c r="P285" s="61">
        <v>-4.8000000000000015E-2</v>
      </c>
      <c r="Q285" s="61">
        <v>-1.0509999999999999</v>
      </c>
      <c r="R285" s="61">
        <v>-4.8999999999999932E-2</v>
      </c>
      <c r="S285" s="61">
        <v>-4.9000000000000155E-2</v>
      </c>
      <c r="T285" s="61">
        <v>-5.6999999999999933E-2</v>
      </c>
      <c r="U285" s="61">
        <v>-5.0000000000000044E-2</v>
      </c>
      <c r="V285" s="61">
        <v>-4.8999999999999932E-2</v>
      </c>
      <c r="W285" s="61">
        <v>-0.16400000000000003</v>
      </c>
      <c r="X285" s="61">
        <v>-5.0999999999999934E-2</v>
      </c>
      <c r="Y285" s="61">
        <v>-3.7119999999999997</v>
      </c>
      <c r="AA285" s="61">
        <v>-2</v>
      </c>
      <c r="AB285" s="60">
        <v>-1.71</v>
      </c>
      <c r="AD285" s="61">
        <v>-3.5</v>
      </c>
      <c r="AE285" s="60">
        <v>-0.21</v>
      </c>
    </row>
    <row r="286" spans="1:31" ht="18" customHeight="1" x14ac:dyDescent="0.2">
      <c r="A286" s="30" t="s">
        <v>257</v>
      </c>
      <c r="B286" s="30" t="s">
        <v>22</v>
      </c>
      <c r="C286" s="4">
        <v>-0.76600000000000001</v>
      </c>
      <c r="D286" s="4">
        <v>1.0285365853658537</v>
      </c>
      <c r="F286" s="104" t="s">
        <v>258</v>
      </c>
      <c r="G286" s="36"/>
      <c r="H286" s="65">
        <v>-16.303000000000001</v>
      </c>
      <c r="I286" s="65">
        <v>100.715</v>
      </c>
      <c r="J286" s="65">
        <v>100.715</v>
      </c>
      <c r="K286" s="65">
        <v>5</v>
      </c>
      <c r="L286" s="65">
        <v>-41</v>
      </c>
      <c r="M286" s="65">
        <v>-30.31</v>
      </c>
      <c r="N286" s="65">
        <v>-30.596999999999998</v>
      </c>
      <c r="O286" s="65">
        <v>-4.909000000000006</v>
      </c>
      <c r="P286" s="65">
        <v>-1.7909999999999968</v>
      </c>
      <c r="Q286" s="65">
        <v>-7.6089999999999947</v>
      </c>
      <c r="R286" s="65">
        <v>24.406999999999996</v>
      </c>
      <c r="S286" s="65">
        <v>0</v>
      </c>
      <c r="T286" s="65">
        <v>8.8219999999999956</v>
      </c>
      <c r="U286" s="65">
        <v>-1.8269999999999982</v>
      </c>
      <c r="V286" s="65">
        <v>2.5760000000000005</v>
      </c>
      <c r="W286" s="65">
        <v>33.853000000000009</v>
      </c>
      <c r="X286" s="65">
        <v>8.5529999999999813</v>
      </c>
      <c r="Y286" s="65">
        <v>1.1679999999999899</v>
      </c>
      <c r="Z286" s="36"/>
      <c r="AA286" s="65">
        <v>5</v>
      </c>
      <c r="AB286" s="60">
        <v>-3.83</v>
      </c>
      <c r="AC286" s="36"/>
      <c r="AD286" s="65">
        <v>-41</v>
      </c>
      <c r="AE286" s="60">
        <v>42.17</v>
      </c>
    </row>
    <row r="287" spans="1:31" ht="18" customHeight="1" x14ac:dyDescent="0.2">
      <c r="A287" s="30" t="s">
        <v>256</v>
      </c>
      <c r="B287" s="30" t="s">
        <v>22</v>
      </c>
      <c r="C287" s="4">
        <v>-1.0003973773097556</v>
      </c>
      <c r="D287" s="4">
        <v>-7.000000000000001E-3</v>
      </c>
      <c r="F287" s="104" t="s">
        <v>259</v>
      </c>
      <c r="G287" s="36"/>
      <c r="H287" s="65">
        <v>0</v>
      </c>
      <c r="I287" s="65">
        <v>0</v>
      </c>
      <c r="J287" s="65">
        <v>0</v>
      </c>
      <c r="K287" s="65">
        <v>0</v>
      </c>
      <c r="L287" s="65">
        <v>-10</v>
      </c>
      <c r="M287" s="65">
        <v>0</v>
      </c>
      <c r="N287" s="65">
        <v>0</v>
      </c>
      <c r="O287" s="65">
        <v>0</v>
      </c>
      <c r="P287" s="65">
        <v>0</v>
      </c>
      <c r="Q287" s="65">
        <v>0</v>
      </c>
      <c r="R287" s="65">
        <v>0</v>
      </c>
      <c r="S287" s="65">
        <v>0</v>
      </c>
      <c r="T287" s="65">
        <v>-9.09</v>
      </c>
      <c r="U287" s="65">
        <v>-0.97600000000000087</v>
      </c>
      <c r="V287" s="65">
        <v>0</v>
      </c>
      <c r="W287" s="65">
        <v>0</v>
      </c>
      <c r="X287" s="65">
        <v>0</v>
      </c>
      <c r="Y287" s="65">
        <v>-10.066000000000001</v>
      </c>
      <c r="Z287" s="36"/>
      <c r="AA287" s="65">
        <v>0</v>
      </c>
      <c r="AB287" s="60">
        <v>-10.07</v>
      </c>
      <c r="AC287" s="36"/>
      <c r="AD287" s="65">
        <v>-10</v>
      </c>
      <c r="AE287" s="60">
        <v>-7.0000000000000007E-2</v>
      </c>
    </row>
    <row r="288" spans="1:31" ht="18" customHeight="1" x14ac:dyDescent="0.2">
      <c r="A288" s="35"/>
      <c r="B288" s="35"/>
      <c r="C288" s="4">
        <v>6.633211091809818E-2</v>
      </c>
      <c r="D288" s="4">
        <v>0.26012297464030426</v>
      </c>
      <c r="F288" s="95" t="s">
        <v>87</v>
      </c>
      <c r="H288" s="64">
        <v>-195.48600000000002</v>
      </c>
      <c r="I288" s="64">
        <v>2.0969999999999942</v>
      </c>
      <c r="J288" s="64">
        <v>2.0969999999999942</v>
      </c>
      <c r="K288" s="89">
        <v>-155.43</v>
      </c>
      <c r="L288" s="89">
        <v>-196.13800000000001</v>
      </c>
      <c r="M288" s="64">
        <v>-46.704000000000001</v>
      </c>
      <c r="N288" s="64">
        <v>-46.815999999999995</v>
      </c>
      <c r="O288" s="64">
        <v>-8.965000000000007</v>
      </c>
      <c r="P288" s="64">
        <v>-13.341999999999993</v>
      </c>
      <c r="Q288" s="64">
        <v>-22.286999999999995</v>
      </c>
      <c r="R288" s="64">
        <v>22.119</v>
      </c>
      <c r="S288" s="64">
        <v>-9.7390000000000061</v>
      </c>
      <c r="T288" s="64">
        <v>-12.618000000000007</v>
      </c>
      <c r="U288" s="64">
        <v>-13.10099999999999</v>
      </c>
      <c r="V288" s="64">
        <v>-6.57</v>
      </c>
      <c r="W288" s="64">
        <v>19.568000000000005</v>
      </c>
      <c r="X288" s="64">
        <v>-6.6610000000000227</v>
      </c>
      <c r="Y288" s="64">
        <v>-145.11600000000001</v>
      </c>
      <c r="AA288" s="64">
        <v>-155.43</v>
      </c>
      <c r="AB288" s="60">
        <v>10.31</v>
      </c>
      <c r="AD288" s="64">
        <v>-196.13800000000001</v>
      </c>
      <c r="AE288" s="60">
        <v>51.02</v>
      </c>
    </row>
    <row r="289" spans="1:33" ht="12.95" customHeight="1" x14ac:dyDescent="0.2">
      <c r="A289" s="35"/>
      <c r="B289" s="35"/>
      <c r="C289" s="4"/>
      <c r="D289" s="4"/>
      <c r="F289" s="39" t="s">
        <v>223</v>
      </c>
      <c r="H289" s="56">
        <v>3.0999174141887752E-2</v>
      </c>
      <c r="I289" s="56">
        <v>-3.1226946487109897E-4</v>
      </c>
      <c r="J289" s="56">
        <v>-3.1226946487109897E-4</v>
      </c>
      <c r="K289" s="109">
        <v>2.4266891781653244E-2</v>
      </c>
      <c r="L289" s="109">
        <v>3.0702215062021015E-2</v>
      </c>
      <c r="M289" s="56">
        <v>8.9468864819717484E-2</v>
      </c>
      <c r="N289" s="56">
        <v>8.1580162581791876E-2</v>
      </c>
      <c r="O289" s="56">
        <v>1.6995164008545938E-2</v>
      </c>
      <c r="P289" s="56">
        <v>2.1074079924182584E-2</v>
      </c>
      <c r="Q289" s="56">
        <v>4.1414103874384448E-2</v>
      </c>
      <c r="R289" s="56">
        <v>-3.9576660881389905E-2</v>
      </c>
      <c r="S289" s="56">
        <v>1.9008490289840932E-2</v>
      </c>
      <c r="T289" s="56">
        <v>2.384777341402293E-2</v>
      </c>
      <c r="U289" s="56">
        <v>2.3998812973757191E-2</v>
      </c>
      <c r="V289" s="56">
        <v>1.3002537176965106E-2</v>
      </c>
      <c r="W289" s="56">
        <v>-3.3578606336829429E-2</v>
      </c>
      <c r="X289" s="56">
        <v>1.1381597046013396E-2</v>
      </c>
      <c r="Y289" s="56">
        <v>2.1940197706103618E-2</v>
      </c>
      <c r="AA289" s="56">
        <v>2.4266891781653244E-2</v>
      </c>
      <c r="AB289" s="57"/>
      <c r="AD289" s="56">
        <v>3.0702215062021015E-2</v>
      </c>
      <c r="AE289" s="57"/>
    </row>
    <row r="290" spans="1:33" ht="6.95" customHeight="1" x14ac:dyDescent="0.2">
      <c r="C290" s="4"/>
      <c r="D290" s="4"/>
      <c r="F290" s="96"/>
      <c r="H290" s="16"/>
      <c r="I290" s="16"/>
      <c r="J290" s="16"/>
      <c r="K290" s="85"/>
      <c r="L290" s="85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AA290" s="16"/>
      <c r="AB290" s="20"/>
      <c r="AD290" s="16"/>
      <c r="AE290" s="20"/>
    </row>
    <row r="291" spans="1:33" ht="18" customHeight="1" x14ac:dyDescent="0.2">
      <c r="A291" s="30" t="s">
        <v>19</v>
      </c>
      <c r="B291" s="30" t="s">
        <v>25</v>
      </c>
      <c r="C291" s="4">
        <v>0.31363636363636366</v>
      </c>
      <c r="D291" s="4">
        <v>-6.6666666666666671E-3</v>
      </c>
      <c r="F291" s="104" t="s">
        <v>255</v>
      </c>
      <c r="G291" s="36"/>
      <c r="H291" s="65">
        <v>-2.8010000000000002</v>
      </c>
      <c r="I291" s="65">
        <v>-7.9480000000000004</v>
      </c>
      <c r="J291" s="65">
        <v>-7.9480000000000004</v>
      </c>
      <c r="K291" s="65">
        <v>-11</v>
      </c>
      <c r="L291" s="65">
        <v>-7.5</v>
      </c>
      <c r="M291" s="65">
        <v>0</v>
      </c>
      <c r="N291" s="65">
        <v>-0.623</v>
      </c>
      <c r="O291" s="65">
        <v>-0.41700000000000004</v>
      </c>
      <c r="P291" s="65">
        <v>-0.38300000000000001</v>
      </c>
      <c r="Q291" s="65">
        <v>-0.67099999999999982</v>
      </c>
      <c r="R291" s="65">
        <v>0.43199999999999994</v>
      </c>
      <c r="S291" s="65">
        <v>0</v>
      </c>
      <c r="T291" s="65">
        <v>-2.0209999999999999</v>
      </c>
      <c r="U291" s="65">
        <v>-1.0110000000000001</v>
      </c>
      <c r="V291" s="65">
        <v>-1.0200000000000005</v>
      </c>
      <c r="W291" s="65">
        <v>-0.35799999999999965</v>
      </c>
      <c r="X291" s="65">
        <v>-1.4790000000000001</v>
      </c>
      <c r="Y291" s="65">
        <v>-7.5510000000000002</v>
      </c>
      <c r="Z291" s="36"/>
      <c r="AA291" s="65">
        <v>-11</v>
      </c>
      <c r="AB291" s="60">
        <v>3.45</v>
      </c>
      <c r="AC291" s="36"/>
      <c r="AD291" s="65">
        <v>-7.5</v>
      </c>
      <c r="AE291" s="60">
        <v>-0.05</v>
      </c>
    </row>
    <row r="292" spans="1:33" ht="12.95" customHeight="1" x14ac:dyDescent="0.2">
      <c r="A292" s="35"/>
      <c r="B292" s="35"/>
      <c r="C292" s="4"/>
      <c r="D292" s="4"/>
      <c r="F292" s="39" t="s">
        <v>223</v>
      </c>
      <c r="H292" s="56">
        <v>4.4416831267419453E-4</v>
      </c>
      <c r="I292" s="56">
        <v>1.1835563694780648E-3</v>
      </c>
      <c r="J292" s="56">
        <v>1.1835563694780648E-3</v>
      </c>
      <c r="K292" s="109">
        <v>1.7174021076895431E-3</v>
      </c>
      <c r="L292" s="109">
        <v>1.1740030639914632E-3</v>
      </c>
      <c r="M292" s="56">
        <v>0</v>
      </c>
      <c r="N292" s="56">
        <v>1.0856211826823382E-3</v>
      </c>
      <c r="O292" s="56">
        <v>7.9051683118389862E-4</v>
      </c>
      <c r="P292" s="56">
        <v>6.0495972200284311E-4</v>
      </c>
      <c r="Q292" s="56">
        <v>1.2468642571773663E-3</v>
      </c>
      <c r="R292" s="56">
        <v>-7.7296068993898631E-4</v>
      </c>
      <c r="S292" s="56">
        <v>0</v>
      </c>
      <c r="T292" s="56">
        <v>3.8196505048137827E-3</v>
      </c>
      <c r="U292" s="56">
        <v>1.8519807584511517E-3</v>
      </c>
      <c r="V292" s="56">
        <v>2.0186587398028028E-3</v>
      </c>
      <c r="W292" s="56">
        <v>6.1432650595793755E-4</v>
      </c>
      <c r="X292" s="56">
        <v>2.5271553867367898E-3</v>
      </c>
      <c r="Y292" s="56">
        <v>1.1416413963917722E-3</v>
      </c>
      <c r="AA292" s="56">
        <v>1.7174021076895431E-3</v>
      </c>
      <c r="AB292" s="57"/>
      <c r="AD292" s="56">
        <v>1.1740030639914632E-3</v>
      </c>
      <c r="AE292" s="57"/>
    </row>
    <row r="293" spans="1:33" ht="6.95" customHeight="1" x14ac:dyDescent="0.2">
      <c r="C293" s="4"/>
      <c r="D293" s="4"/>
      <c r="F293" s="96"/>
      <c r="H293" s="16"/>
      <c r="I293" s="16"/>
      <c r="J293" s="16"/>
      <c r="K293" s="85"/>
      <c r="L293" s="85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AA293" s="16"/>
      <c r="AB293" s="20"/>
      <c r="AD293" s="16"/>
      <c r="AE293" s="20"/>
    </row>
    <row r="294" spans="1:33" s="40" customFormat="1" ht="18" customHeight="1" x14ac:dyDescent="0.2">
      <c r="A294" s="35"/>
      <c r="B294" s="35"/>
      <c r="C294" s="4">
        <v>8.4111827040976528E-2</v>
      </c>
      <c r="D294" s="4">
        <v>0.10001998098193476</v>
      </c>
      <c r="E294" s="8"/>
      <c r="F294" s="100" t="s">
        <v>279</v>
      </c>
      <c r="G294" s="8"/>
      <c r="H294" s="62">
        <v>-588.76300000000003</v>
      </c>
      <c r="I294" s="62">
        <v>-425.43099999999998</v>
      </c>
      <c r="J294" s="62">
        <v>-425.43099999999998</v>
      </c>
      <c r="K294" s="108">
        <v>-640.45690000000002</v>
      </c>
      <c r="L294" s="108">
        <v>-651.76976999999999</v>
      </c>
      <c r="M294" s="62">
        <v>-83.953999999999994</v>
      </c>
      <c r="N294" s="62">
        <v>-82.381</v>
      </c>
      <c r="O294" s="62">
        <v>-47.958000000000013</v>
      </c>
      <c r="P294" s="62">
        <v>-50.821999999999974</v>
      </c>
      <c r="Q294" s="62">
        <v>-59.308</v>
      </c>
      <c r="R294" s="62">
        <v>-16.30500000000001</v>
      </c>
      <c r="S294" s="62">
        <v>-44.297000000000011</v>
      </c>
      <c r="T294" s="62">
        <v>-40.522999999999996</v>
      </c>
      <c r="U294" s="62">
        <v>-47.735999999999976</v>
      </c>
      <c r="V294" s="62">
        <v>-42.49</v>
      </c>
      <c r="W294" s="62">
        <v>-20.811000000000018</v>
      </c>
      <c r="X294" s="62">
        <v>-49.999000000000052</v>
      </c>
      <c r="Y294" s="62">
        <v>-586.58400000000006</v>
      </c>
      <c r="Z294" s="8"/>
      <c r="AA294" s="62">
        <v>-640.45690000000002</v>
      </c>
      <c r="AB294" s="60">
        <v>53.87</v>
      </c>
      <c r="AC294" s="8"/>
      <c r="AD294" s="62">
        <v>-651.76976999999999</v>
      </c>
      <c r="AE294" s="60">
        <v>65.19</v>
      </c>
      <c r="AG294" s="41"/>
    </row>
    <row r="295" spans="1:33" ht="12.95" customHeight="1" x14ac:dyDescent="0.2">
      <c r="A295" s="35"/>
      <c r="B295" s="35"/>
      <c r="C295" s="4"/>
      <c r="D295" s="4"/>
      <c r="F295" s="39" t="s">
        <v>223</v>
      </c>
      <c r="H295" s="56">
        <v>9.3363037584790004E-2</v>
      </c>
      <c r="I295" s="56">
        <v>6.3351984124738622E-2</v>
      </c>
      <c r="J295" s="56">
        <v>6.3351984124738622E-2</v>
      </c>
      <c r="K295" s="109">
        <v>9.9992911813119173E-2</v>
      </c>
      <c r="L295" s="109">
        <v>0.10202396093293484</v>
      </c>
      <c r="M295" s="56">
        <v>0.16082710425390889</v>
      </c>
      <c r="N295" s="56">
        <v>0.14355466878098508</v>
      </c>
      <c r="O295" s="56">
        <v>9.0915122757595723E-2</v>
      </c>
      <c r="P295" s="56">
        <v>8.0274838098246676E-2</v>
      </c>
      <c r="Q295" s="56">
        <v>0.11020719130353988</v>
      </c>
      <c r="R295" s="56">
        <v>2.9173898262627732E-2</v>
      </c>
      <c r="S295" s="56">
        <v>8.6458475651410155E-2</v>
      </c>
      <c r="T295" s="56">
        <v>7.6587678083408661E-2</v>
      </c>
      <c r="U295" s="56">
        <v>8.744426655333741E-2</v>
      </c>
      <c r="V295" s="56">
        <v>8.4090990053157899E-2</v>
      </c>
      <c r="W295" s="56">
        <v>3.571158914941526E-2</v>
      </c>
      <c r="X295" s="56">
        <v>8.5432888560820069E-2</v>
      </c>
      <c r="Y295" s="56">
        <v>8.8686078249380393E-2</v>
      </c>
      <c r="AA295" s="56">
        <v>9.9992911813119173E-2</v>
      </c>
      <c r="AB295" s="57"/>
      <c r="AD295" s="56">
        <v>0.10202396093293484</v>
      </c>
      <c r="AE295" s="57"/>
    </row>
    <row r="296" spans="1:33" ht="6.95" customHeight="1" x14ac:dyDescent="0.2">
      <c r="C296" s="4"/>
      <c r="D296" s="4"/>
      <c r="F296" s="96"/>
      <c r="H296" s="16"/>
      <c r="I296" s="16"/>
      <c r="J296" s="16"/>
      <c r="K296" s="85"/>
      <c r="L296" s="85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AA296" s="16"/>
      <c r="AB296" s="20"/>
      <c r="AD296" s="16"/>
      <c r="AE296" s="20"/>
    </row>
    <row r="297" spans="1:33" s="40" customFormat="1" ht="18" customHeight="1" x14ac:dyDescent="0.2">
      <c r="A297" s="35"/>
      <c r="B297" s="35"/>
      <c r="C297" s="4">
        <v>0.19551143837006049</v>
      </c>
      <c r="D297" s="4">
        <v>0.137725171025457</v>
      </c>
      <c r="E297" s="8"/>
      <c r="F297" s="101" t="s">
        <v>23</v>
      </c>
      <c r="G297" s="8"/>
      <c r="H297" s="77">
        <v>1004.711000000001</v>
      </c>
      <c r="I297" s="77">
        <v>1662.1740000000004</v>
      </c>
      <c r="J297" s="77">
        <v>1662.1740000000004</v>
      </c>
      <c r="K297" s="114">
        <v>1272.4575199999999</v>
      </c>
      <c r="L297" s="114">
        <v>1337.0831100000005</v>
      </c>
      <c r="M297" s="77">
        <v>68.574999999999946</v>
      </c>
      <c r="N297" s="77">
        <v>94.059999999999974</v>
      </c>
      <c r="O297" s="77">
        <v>89.232999999999905</v>
      </c>
      <c r="P297" s="77">
        <v>178.49000000000004</v>
      </c>
      <c r="Q297" s="77">
        <v>160.17300000000023</v>
      </c>
      <c r="R297" s="77">
        <v>134.14599999999979</v>
      </c>
      <c r="S297" s="77">
        <v>65.1880000000004</v>
      </c>
      <c r="T297" s="77">
        <v>169.31299999999945</v>
      </c>
      <c r="U297" s="77">
        <v>126.67299999999967</v>
      </c>
      <c r="V297" s="77">
        <v>120.09500000000071</v>
      </c>
      <c r="W297" s="77">
        <v>165.7869999999991</v>
      </c>
      <c r="X297" s="77">
        <v>149.50000000000071</v>
      </c>
      <c r="Y297" s="77">
        <v>1521.2329999999999</v>
      </c>
      <c r="Z297" s="8"/>
      <c r="AA297" s="77">
        <v>1272.4575199999999</v>
      </c>
      <c r="AB297" s="60">
        <v>248.78</v>
      </c>
      <c r="AC297" s="8"/>
      <c r="AD297" s="77">
        <v>1337.0831100000005</v>
      </c>
      <c r="AE297" s="60">
        <v>184.15</v>
      </c>
    </row>
    <row r="298" spans="1:33" ht="12.95" customHeight="1" x14ac:dyDescent="0.2">
      <c r="A298" s="35"/>
      <c r="B298" s="35"/>
      <c r="C298" s="4"/>
      <c r="D298" s="4"/>
      <c r="F298" s="39" t="s">
        <v>223</v>
      </c>
      <c r="H298" s="56">
        <v>0.15932195272945487</v>
      </c>
      <c r="I298" s="56">
        <v>0.24751844802224876</v>
      </c>
      <c r="J298" s="56">
        <v>0.24751844802224876</v>
      </c>
      <c r="K298" s="109">
        <v>0.19866556607212807</v>
      </c>
      <c r="L298" s="109">
        <v>0.20929862239349803</v>
      </c>
      <c r="M298" s="56">
        <v>0.13136620856911874</v>
      </c>
      <c r="N298" s="56">
        <v>0.16390614517351637</v>
      </c>
      <c r="O298" s="56">
        <v>0.16916112325427518</v>
      </c>
      <c r="P298" s="56">
        <v>0.28193018480492821</v>
      </c>
      <c r="Q298" s="56">
        <v>0.29763634674347339</v>
      </c>
      <c r="R298" s="56">
        <v>0.24002218683461829</v>
      </c>
      <c r="S298" s="56">
        <v>0.12723333658631866</v>
      </c>
      <c r="T298" s="56">
        <v>0.3199982612179782</v>
      </c>
      <c r="U298" s="56">
        <v>0.23204348033163413</v>
      </c>
      <c r="V298" s="56">
        <v>0.23767727583982245</v>
      </c>
      <c r="W298" s="56">
        <v>0.28448980012080488</v>
      </c>
      <c r="X298" s="56">
        <v>0.25544944578576867</v>
      </c>
      <c r="Y298" s="56">
        <v>0.2299963668861402</v>
      </c>
      <c r="AA298" s="56">
        <v>0.19866556607212807</v>
      </c>
      <c r="AB298" s="57"/>
      <c r="AD298" s="56">
        <v>0.20929862239349803</v>
      </c>
      <c r="AE298" s="57"/>
    </row>
    <row r="299" spans="1:33" s="11" customFormat="1" ht="6.75" customHeight="1" x14ac:dyDescent="0.2">
      <c r="A299" s="8"/>
      <c r="B299" s="8"/>
      <c r="C299" s="8"/>
      <c r="D299" s="8"/>
      <c r="AF299" s="8"/>
      <c r="AG299" s="8"/>
    </row>
    <row r="300" spans="1:33" s="11" customFormat="1" ht="18" customHeight="1" x14ac:dyDescent="0.2">
      <c r="A300" s="276" t="s">
        <v>92</v>
      </c>
      <c r="B300" s="276" t="s">
        <v>17</v>
      </c>
      <c r="C300" s="253"/>
      <c r="D300" s="253"/>
      <c r="F300" s="101" t="s">
        <v>455</v>
      </c>
      <c r="G300" s="253"/>
      <c r="H300" s="77">
        <v>-12.007</v>
      </c>
      <c r="I300" s="77">
        <v>-11.907</v>
      </c>
      <c r="J300" s="77">
        <v>-11.907</v>
      </c>
      <c r="K300" s="114">
        <v>-7.1459999999999999</v>
      </c>
      <c r="L300" s="114">
        <v>-7.7080000000000002</v>
      </c>
      <c r="M300" s="77">
        <v>-0.98399999999999999</v>
      </c>
      <c r="N300" s="77">
        <v>-0.8680000000000001</v>
      </c>
      <c r="O300" s="77">
        <v>-0.92500000000000004</v>
      </c>
      <c r="P300" s="77">
        <v>-0.67399999999999993</v>
      </c>
      <c r="Q300" s="77">
        <v>-0.54099999999999993</v>
      </c>
      <c r="R300" s="77">
        <v>-0.58999999999999986</v>
      </c>
      <c r="S300" s="77">
        <v>-0.55499999999999972</v>
      </c>
      <c r="T300" s="77">
        <v>-0.58400000000000052</v>
      </c>
      <c r="U300" s="77">
        <v>-0.60200000000000031</v>
      </c>
      <c r="V300" s="77">
        <v>-0.48599999999999977</v>
      </c>
      <c r="W300" s="77">
        <v>-0.47499999999999964</v>
      </c>
      <c r="X300" s="77">
        <v>-0.47700000000000031</v>
      </c>
      <c r="Y300" s="77">
        <v>-7.7610000000000001</v>
      </c>
      <c r="Z300" s="253"/>
      <c r="AA300" s="77">
        <v>-7.1459999999999999</v>
      </c>
      <c r="AB300" s="256">
        <v>-0.62</v>
      </c>
      <c r="AD300" s="77">
        <v>-7.7080000000000011</v>
      </c>
      <c r="AE300" s="256">
        <v>-0.05</v>
      </c>
      <c r="AF300" s="253"/>
      <c r="AG300" s="253"/>
    </row>
    <row r="301" spans="1:33" s="11" customFormat="1" ht="6.75" customHeight="1" x14ac:dyDescent="0.2">
      <c r="A301" s="253"/>
      <c r="B301" s="253"/>
      <c r="C301" s="253"/>
      <c r="D301" s="253"/>
      <c r="AF301" s="253"/>
      <c r="AG301" s="253"/>
    </row>
    <row r="302" spans="1:33" s="11" customFormat="1" ht="18" customHeight="1" x14ac:dyDescent="0.2">
      <c r="A302" s="276" t="s">
        <v>457</v>
      </c>
      <c r="B302" s="276" t="s">
        <v>17</v>
      </c>
      <c r="C302" s="253"/>
      <c r="D302" s="253"/>
      <c r="F302" s="101" t="s">
        <v>456</v>
      </c>
      <c r="G302" s="253"/>
      <c r="H302" s="77">
        <v>1016.718</v>
      </c>
      <c r="I302" s="77">
        <v>1674.0809999999999</v>
      </c>
      <c r="J302" s="77">
        <v>1674.0809999999999</v>
      </c>
      <c r="K302" s="114">
        <v>1279.6035199999999</v>
      </c>
      <c r="L302" s="114">
        <v>1344.7911099999999</v>
      </c>
      <c r="M302" s="77">
        <v>69.558999999999997</v>
      </c>
      <c r="N302" s="77">
        <v>94.927999999999997</v>
      </c>
      <c r="O302" s="77">
        <v>90.158000000000015</v>
      </c>
      <c r="P302" s="77">
        <v>179.16400000000002</v>
      </c>
      <c r="Q302" s="77">
        <v>160.714</v>
      </c>
      <c r="R302" s="77">
        <v>134.73599999999999</v>
      </c>
      <c r="S302" s="77">
        <v>65.742999999999938</v>
      </c>
      <c r="T302" s="77">
        <v>169.89700000000107</v>
      </c>
      <c r="U302" s="77">
        <v>127.27499999999895</v>
      </c>
      <c r="V302" s="77">
        <v>120.86699999999996</v>
      </c>
      <c r="W302" s="77">
        <v>166.26200000000017</v>
      </c>
      <c r="X302" s="77">
        <v>149.97699999999986</v>
      </c>
      <c r="Y302" s="77">
        <v>1529.28</v>
      </c>
      <c r="Z302" s="253"/>
      <c r="AA302" s="77">
        <v>1279.6035199999999</v>
      </c>
      <c r="AB302" s="256">
        <v>249.68</v>
      </c>
      <c r="AD302" s="77">
        <v>1344.7911099999999</v>
      </c>
      <c r="AE302" s="256">
        <v>184.49</v>
      </c>
      <c r="AF302" s="253"/>
      <c r="AG302" s="253"/>
    </row>
    <row r="303" spans="1:33" s="11" customFormat="1" x14ac:dyDescent="0.2">
      <c r="A303" s="253"/>
      <c r="B303" s="253"/>
      <c r="C303" s="253"/>
      <c r="D303" s="253"/>
      <c r="AF303" s="253"/>
      <c r="AG303" s="253"/>
    </row>
    <row r="304" spans="1:33" s="11" customFormat="1" x14ac:dyDescent="0.2">
      <c r="A304" s="8"/>
      <c r="B304" s="8"/>
      <c r="C304" s="8"/>
      <c r="D304" s="8"/>
      <c r="AF304" s="8"/>
      <c r="AG304" s="8"/>
    </row>
    <row r="305" spans="1:33" s="11" customFormat="1" x14ac:dyDescent="0.2">
      <c r="A305" s="8"/>
      <c r="B305" s="8"/>
      <c r="C305" s="8"/>
      <c r="D305" s="8"/>
      <c r="AF305" s="8"/>
      <c r="AG305" s="8"/>
    </row>
    <row r="306" spans="1:33" s="11" customFormat="1" x14ac:dyDescent="0.2">
      <c r="A306" s="8"/>
      <c r="B306" s="8"/>
      <c r="C306" s="8"/>
      <c r="D306" s="8"/>
      <c r="AF306" s="8"/>
      <c r="AG306" s="8"/>
    </row>
    <row r="307" spans="1:33" s="11" customFormat="1" x14ac:dyDescent="0.2">
      <c r="A307" s="8"/>
      <c r="B307" s="8"/>
      <c r="C307" s="8"/>
      <c r="D307" s="8"/>
      <c r="AF307" s="8"/>
      <c r="AG307" s="8"/>
    </row>
    <row r="308" spans="1:33" s="11" customFormat="1" x14ac:dyDescent="0.2">
      <c r="A308" s="8"/>
      <c r="B308" s="8"/>
      <c r="C308" s="8"/>
      <c r="D308" s="8"/>
      <c r="AF308" s="8"/>
      <c r="AG308" s="8"/>
    </row>
    <row r="309" spans="1:33" s="11" customFormat="1" x14ac:dyDescent="0.2">
      <c r="A309" s="8"/>
      <c r="B309" s="8"/>
      <c r="C309" s="8"/>
      <c r="D309" s="8"/>
      <c r="AF309" s="8"/>
      <c r="AG309" s="8"/>
    </row>
    <row r="310" spans="1:33" s="11" customFormat="1" x14ac:dyDescent="0.2">
      <c r="A310" s="8"/>
      <c r="B310" s="8"/>
      <c r="C310" s="8"/>
      <c r="D310" s="8"/>
      <c r="AF310" s="8"/>
      <c r="AG310" s="8"/>
    </row>
    <row r="311" spans="1:33" s="11" customFormat="1" x14ac:dyDescent="0.2">
      <c r="A311" s="8"/>
      <c r="B311" s="8"/>
      <c r="C311" s="8"/>
      <c r="D311" s="8"/>
      <c r="AF311" s="8"/>
      <c r="AG311" s="8"/>
    </row>
    <row r="312" spans="1:33" s="11" customFormat="1" x14ac:dyDescent="0.2">
      <c r="A312" s="8"/>
      <c r="B312" s="8"/>
      <c r="C312" s="8"/>
      <c r="D312" s="8"/>
      <c r="AF312" s="8"/>
      <c r="AG312" s="8"/>
    </row>
    <row r="313" spans="1:33" s="11" customFormat="1" x14ac:dyDescent="0.2">
      <c r="A313" s="8"/>
      <c r="B313" s="8"/>
      <c r="C313" s="8"/>
      <c r="D313" s="8"/>
      <c r="AF313" s="8"/>
      <c r="AG313" s="8"/>
    </row>
    <row r="314" spans="1:33" s="11" customFormat="1" x14ac:dyDescent="0.2">
      <c r="A314" s="8"/>
      <c r="B314" s="8"/>
      <c r="C314" s="8"/>
      <c r="D314" s="8"/>
      <c r="AF314" s="8"/>
      <c r="AG314" s="8"/>
    </row>
    <row r="315" spans="1:33" s="11" customFormat="1" x14ac:dyDescent="0.2">
      <c r="A315" s="8"/>
      <c r="B315" s="8"/>
      <c r="C315" s="8"/>
      <c r="D315" s="8"/>
      <c r="AF315" s="8"/>
      <c r="AG315" s="8"/>
    </row>
    <row r="316" spans="1:33" s="11" customFormat="1" x14ac:dyDescent="0.2">
      <c r="A316" s="8"/>
      <c r="B316" s="8"/>
      <c r="C316" s="8"/>
      <c r="D316" s="8"/>
      <c r="AF316" s="8"/>
      <c r="AG316" s="8"/>
    </row>
    <row r="317" spans="1:33" s="11" customFormat="1" x14ac:dyDescent="0.2">
      <c r="A317" s="8"/>
      <c r="B317" s="8"/>
      <c r="C317" s="8"/>
      <c r="D317" s="8"/>
      <c r="AF317" s="8"/>
      <c r="AG317" s="8"/>
    </row>
    <row r="318" spans="1:33" s="11" customFormat="1" x14ac:dyDescent="0.2">
      <c r="A318" s="8"/>
      <c r="B318" s="8"/>
      <c r="C318" s="8"/>
      <c r="D318" s="8"/>
      <c r="AF318" s="8"/>
      <c r="AG318" s="8"/>
    </row>
    <row r="319" spans="1:33" s="11" customFormat="1" x14ac:dyDescent="0.2">
      <c r="A319" s="8"/>
      <c r="B319" s="8"/>
      <c r="C319" s="8"/>
      <c r="D319" s="8"/>
      <c r="AF319" s="8"/>
      <c r="AG319" s="8"/>
    </row>
    <row r="320" spans="1:33" s="11" customFormat="1" x14ac:dyDescent="0.2">
      <c r="A320" s="8"/>
      <c r="B320" s="8"/>
      <c r="C320" s="8"/>
      <c r="D320" s="8"/>
      <c r="AF320" s="8"/>
      <c r="AG320" s="8"/>
    </row>
    <row r="321" spans="1:33" s="11" customFormat="1" x14ac:dyDescent="0.2">
      <c r="A321" s="8"/>
      <c r="B321" s="8"/>
      <c r="C321" s="8"/>
      <c r="D321" s="8"/>
      <c r="AF321" s="8"/>
      <c r="AG321" s="8"/>
    </row>
    <row r="322" spans="1:33" s="11" customFormat="1" x14ac:dyDescent="0.2">
      <c r="A322" s="8"/>
      <c r="B322" s="8"/>
      <c r="C322" s="8"/>
      <c r="D322" s="8"/>
      <c r="AF322" s="8"/>
      <c r="AG322" s="8"/>
    </row>
    <row r="323" spans="1:33" s="11" customFormat="1" x14ac:dyDescent="0.2">
      <c r="A323" s="8"/>
      <c r="B323" s="8"/>
      <c r="C323" s="8"/>
      <c r="D323" s="8"/>
      <c r="AF323" s="8"/>
      <c r="AG323" s="8"/>
    </row>
    <row r="324" spans="1:33" s="11" customFormat="1" x14ac:dyDescent="0.2">
      <c r="A324" s="8"/>
      <c r="B324" s="8"/>
      <c r="C324" s="8"/>
      <c r="D324" s="8"/>
      <c r="AF324" s="8"/>
      <c r="AG324" s="8"/>
    </row>
    <row r="325" spans="1:33" s="11" customFormat="1" x14ac:dyDescent="0.2">
      <c r="A325" s="8"/>
      <c r="B325" s="8"/>
      <c r="C325" s="8"/>
      <c r="D325" s="8"/>
      <c r="AF325" s="8"/>
      <c r="AG325" s="8"/>
    </row>
    <row r="326" spans="1:33" s="11" customFormat="1" x14ac:dyDescent="0.2">
      <c r="A326" s="8"/>
      <c r="B326" s="8"/>
      <c r="C326" s="8"/>
      <c r="D326" s="8"/>
      <c r="AF326" s="8"/>
      <c r="AG326" s="8"/>
    </row>
    <row r="327" spans="1:33" s="11" customFormat="1" x14ac:dyDescent="0.2">
      <c r="A327" s="8"/>
      <c r="B327" s="8"/>
      <c r="C327" s="8"/>
      <c r="D327" s="8"/>
      <c r="AF327" s="8"/>
      <c r="AG327" s="8"/>
    </row>
    <row r="328" spans="1:33" s="11" customFormat="1" x14ac:dyDescent="0.2">
      <c r="A328" s="8"/>
      <c r="B328" s="8"/>
      <c r="C328" s="8"/>
      <c r="D328" s="8"/>
      <c r="AF328" s="8"/>
      <c r="AG328" s="8"/>
    </row>
    <row r="329" spans="1:33" s="11" customFormat="1" x14ac:dyDescent="0.2">
      <c r="A329" s="8"/>
      <c r="B329" s="8"/>
      <c r="C329" s="8"/>
      <c r="D329" s="8"/>
      <c r="AF329" s="8"/>
      <c r="AG329" s="8"/>
    </row>
    <row r="330" spans="1:33" s="11" customFormat="1" x14ac:dyDescent="0.2">
      <c r="A330" s="8"/>
      <c r="B330" s="8"/>
      <c r="C330" s="8"/>
      <c r="D330" s="8"/>
      <c r="AF330" s="8"/>
      <c r="AG330" s="8"/>
    </row>
    <row r="331" spans="1:33" s="11" customFormat="1" x14ac:dyDescent="0.2">
      <c r="A331" s="8"/>
      <c r="B331" s="8"/>
      <c r="C331" s="8"/>
      <c r="D331" s="8"/>
      <c r="AF331" s="8"/>
      <c r="AG331" s="8"/>
    </row>
    <row r="332" spans="1:33" s="11" customFormat="1" x14ac:dyDescent="0.2">
      <c r="A332" s="8"/>
      <c r="B332" s="8"/>
      <c r="C332" s="8"/>
      <c r="D332" s="8"/>
      <c r="AF332" s="8"/>
      <c r="AG332" s="8"/>
    </row>
    <row r="333" spans="1:33" s="11" customFormat="1" x14ac:dyDescent="0.2">
      <c r="A333" s="8"/>
      <c r="B333" s="8"/>
      <c r="C333" s="8"/>
      <c r="D333" s="8"/>
      <c r="AF333" s="8"/>
      <c r="AG333" s="8"/>
    </row>
    <row r="334" spans="1:33" s="11" customFormat="1" x14ac:dyDescent="0.2">
      <c r="A334" s="8"/>
      <c r="B334" s="8"/>
      <c r="C334" s="8"/>
      <c r="D334" s="8"/>
      <c r="AF334" s="8"/>
      <c r="AG334" s="8"/>
    </row>
    <row r="335" spans="1:33" s="11" customFormat="1" x14ac:dyDescent="0.2">
      <c r="A335" s="8"/>
      <c r="B335" s="8"/>
      <c r="C335" s="8"/>
      <c r="D335" s="8"/>
      <c r="AF335" s="8"/>
      <c r="AG335" s="8"/>
    </row>
    <row r="336" spans="1:33" s="11" customFormat="1" x14ac:dyDescent="0.2">
      <c r="A336" s="8"/>
      <c r="B336" s="8"/>
      <c r="C336" s="8"/>
      <c r="D336" s="8"/>
      <c r="AF336" s="8"/>
      <c r="AG336" s="8"/>
    </row>
    <row r="337" spans="1:33" s="11" customFormat="1" x14ac:dyDescent="0.2">
      <c r="A337" s="8"/>
      <c r="B337" s="8"/>
      <c r="C337" s="8"/>
      <c r="D337" s="8"/>
      <c r="AF337" s="8"/>
      <c r="AG337" s="8"/>
    </row>
    <row r="338" spans="1:33" s="11" customFormat="1" x14ac:dyDescent="0.2">
      <c r="A338" s="8"/>
      <c r="B338" s="8"/>
      <c r="C338" s="8"/>
      <c r="D338" s="8"/>
      <c r="AF338" s="8"/>
      <c r="AG338" s="8"/>
    </row>
    <row r="339" spans="1:33" s="11" customFormat="1" x14ac:dyDescent="0.2">
      <c r="A339" s="8"/>
      <c r="B339" s="8"/>
      <c r="C339" s="8"/>
      <c r="D339" s="8"/>
      <c r="AF339" s="8"/>
      <c r="AG339" s="8"/>
    </row>
    <row r="340" spans="1:33" s="11" customFormat="1" x14ac:dyDescent="0.2">
      <c r="A340" s="8"/>
      <c r="B340" s="8"/>
      <c r="C340" s="8"/>
      <c r="D340" s="8"/>
      <c r="AF340" s="8"/>
      <c r="AG340" s="8"/>
    </row>
    <row r="341" spans="1:33" s="11" customFormat="1" x14ac:dyDescent="0.2">
      <c r="A341" s="8"/>
      <c r="B341" s="8"/>
      <c r="C341" s="8"/>
      <c r="D341" s="8"/>
      <c r="AF341" s="8"/>
      <c r="AG341" s="8"/>
    </row>
    <row r="342" spans="1:33" s="11" customFormat="1" x14ac:dyDescent="0.2">
      <c r="A342" s="8"/>
      <c r="B342" s="8"/>
      <c r="C342" s="8"/>
      <c r="D342" s="8"/>
      <c r="AF342" s="8"/>
      <c r="AG342" s="8"/>
    </row>
    <row r="343" spans="1:33" s="11" customFormat="1" x14ac:dyDescent="0.2">
      <c r="A343" s="8"/>
      <c r="B343" s="8"/>
      <c r="C343" s="8"/>
      <c r="D343" s="8"/>
      <c r="AF343" s="8"/>
      <c r="AG343" s="8"/>
    </row>
    <row r="344" spans="1:33" s="11" customFormat="1" x14ac:dyDescent="0.2">
      <c r="A344" s="8"/>
      <c r="B344" s="8"/>
      <c r="C344" s="8"/>
      <c r="D344" s="8"/>
      <c r="AF344" s="8"/>
      <c r="AG344" s="8"/>
    </row>
    <row r="345" spans="1:33" s="11" customFormat="1" x14ac:dyDescent="0.2">
      <c r="A345" s="8"/>
      <c r="B345" s="8"/>
      <c r="C345" s="8"/>
      <c r="D345" s="8"/>
      <c r="AF345" s="8"/>
      <c r="AG345" s="8"/>
    </row>
    <row r="346" spans="1:33" s="11" customFormat="1" x14ac:dyDescent="0.2">
      <c r="A346" s="8"/>
      <c r="B346" s="8"/>
      <c r="C346" s="8"/>
      <c r="D346" s="8"/>
      <c r="AF346" s="8"/>
      <c r="AG346" s="8"/>
    </row>
    <row r="347" spans="1:33" s="11" customFormat="1" x14ac:dyDescent="0.2">
      <c r="A347" s="8"/>
      <c r="B347" s="8"/>
      <c r="C347" s="8"/>
      <c r="D347" s="8"/>
      <c r="AF347" s="8"/>
      <c r="AG347" s="8"/>
    </row>
    <row r="350" spans="1:33" ht="18" customHeight="1" x14ac:dyDescent="0.2">
      <c r="A350" s="30" t="s">
        <v>287</v>
      </c>
      <c r="B350" s="30" t="s">
        <v>17</v>
      </c>
      <c r="C350" s="4">
        <v>0</v>
      </c>
      <c r="D350" s="4">
        <v>0</v>
      </c>
      <c r="F350" s="106" t="s">
        <v>288</v>
      </c>
      <c r="H350" s="61">
        <v>0</v>
      </c>
      <c r="I350" s="61">
        <v>0</v>
      </c>
      <c r="J350" s="61">
        <v>0</v>
      </c>
      <c r="K350" s="86">
        <v>0</v>
      </c>
      <c r="L350" s="86">
        <v>0</v>
      </c>
      <c r="M350" s="61">
        <v>0</v>
      </c>
      <c r="N350" s="61">
        <v>0</v>
      </c>
      <c r="O350" s="61">
        <v>0</v>
      </c>
      <c r="P350" s="61">
        <v>0</v>
      </c>
      <c r="Q350" s="61">
        <v>0</v>
      </c>
      <c r="R350" s="61">
        <v>0</v>
      </c>
      <c r="S350" s="61">
        <v>0</v>
      </c>
      <c r="T350" s="61">
        <v>0</v>
      </c>
      <c r="U350" s="61">
        <v>0</v>
      </c>
      <c r="V350" s="61">
        <v>0</v>
      </c>
      <c r="W350" s="61">
        <v>0</v>
      </c>
      <c r="X350" s="61">
        <v>0</v>
      </c>
      <c r="Y350" s="61">
        <v>0</v>
      </c>
      <c r="AA350" s="61">
        <v>0</v>
      </c>
      <c r="AB350" s="20"/>
      <c r="AD350" s="61">
        <v>0</v>
      </c>
      <c r="AE350" s="20"/>
    </row>
    <row r="351" spans="1:33" ht="18" hidden="1" customHeight="1" outlineLevel="1" x14ac:dyDescent="0.2">
      <c r="A351" s="30" t="s">
        <v>291</v>
      </c>
      <c r="B351" s="30" t="s">
        <v>17</v>
      </c>
      <c r="C351" s="4">
        <v>0</v>
      </c>
      <c r="D351" s="4">
        <v>0</v>
      </c>
      <c r="F351" s="106" t="s">
        <v>290</v>
      </c>
      <c r="H351" s="61">
        <v>425.75799999999998</v>
      </c>
      <c r="I351" s="61">
        <v>503.09199999999998</v>
      </c>
      <c r="J351" s="61">
        <v>503.09199999999998</v>
      </c>
      <c r="K351" s="86">
        <v>562.08500000000004</v>
      </c>
      <c r="L351" s="86">
        <v>406.58600000000001</v>
      </c>
      <c r="M351" s="61">
        <v>52.844999999999999</v>
      </c>
      <c r="N351" s="61">
        <v>86.765000000000001</v>
      </c>
      <c r="O351" s="61">
        <v>142.577</v>
      </c>
      <c r="P351" s="61">
        <v>169.77600000000001</v>
      </c>
      <c r="Q351" s="61">
        <v>215.273</v>
      </c>
      <c r="R351" s="61">
        <v>266.07400000000001</v>
      </c>
      <c r="S351" s="61">
        <v>296.71300000000002</v>
      </c>
      <c r="T351" s="61">
        <v>320.47000000000003</v>
      </c>
      <c r="U351" s="61">
        <v>354.05</v>
      </c>
      <c r="V351" s="61">
        <v>390.6</v>
      </c>
      <c r="W351" s="61">
        <v>431.524</v>
      </c>
      <c r="X351" s="61">
        <v>460.387</v>
      </c>
      <c r="Y351" s="61">
        <v>460.387</v>
      </c>
      <c r="AA351" s="61">
        <v>562.08500000000004</v>
      </c>
      <c r="AB351" s="20"/>
      <c r="AD351" s="61">
        <v>406.58600000000001</v>
      </c>
      <c r="AE351" s="20"/>
    </row>
    <row r="352" spans="1:33" ht="18" customHeight="1" collapsed="1" x14ac:dyDescent="0.2">
      <c r="A352" s="30" t="s">
        <v>287</v>
      </c>
      <c r="B352" s="30" t="s">
        <v>17</v>
      </c>
      <c r="C352" s="4">
        <v>0</v>
      </c>
      <c r="D352" s="4">
        <v>0</v>
      </c>
      <c r="F352" s="107" t="s">
        <v>289</v>
      </c>
      <c r="H352" s="78">
        <v>0</v>
      </c>
      <c r="I352" s="78">
        <v>0</v>
      </c>
      <c r="J352" s="78">
        <v>0</v>
      </c>
      <c r="K352" s="87">
        <v>0</v>
      </c>
      <c r="L352" s="87">
        <v>0</v>
      </c>
      <c r="M352" s="78">
        <v>0</v>
      </c>
      <c r="N352" s="78">
        <v>0</v>
      </c>
      <c r="O352" s="78">
        <v>0</v>
      </c>
      <c r="P352" s="78">
        <v>0</v>
      </c>
      <c r="Q352" s="78">
        <v>0</v>
      </c>
      <c r="R352" s="78">
        <v>0</v>
      </c>
      <c r="S352" s="78">
        <v>0</v>
      </c>
      <c r="T352" s="78">
        <v>0</v>
      </c>
      <c r="U352" s="78">
        <v>0</v>
      </c>
      <c r="V352" s="78">
        <v>0</v>
      </c>
      <c r="W352" s="78">
        <v>0</v>
      </c>
      <c r="X352" s="78">
        <v>0</v>
      </c>
      <c r="Y352" s="78">
        <v>0</v>
      </c>
      <c r="AA352" s="78">
        <v>0</v>
      </c>
      <c r="AB352" s="20"/>
      <c r="AD352" s="78">
        <v>0</v>
      </c>
      <c r="AE352" s="20"/>
    </row>
    <row r="353" spans="1:31" ht="15" x14ac:dyDescent="0.2">
      <c r="A353" s="4"/>
      <c r="B353" s="4"/>
      <c r="C353" s="4"/>
      <c r="D353" s="4"/>
      <c r="F353" s="96"/>
      <c r="H353" s="16"/>
      <c r="I353" s="16"/>
      <c r="J353" s="16"/>
      <c r="K353" s="85"/>
      <c r="L353" s="85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AA353" s="16"/>
      <c r="AB353" s="20"/>
      <c r="AD353" s="16"/>
      <c r="AE353" s="20"/>
    </row>
    <row r="354" spans="1:31" ht="18" customHeight="1" x14ac:dyDescent="0.2">
      <c r="A354" s="30" t="s">
        <v>293</v>
      </c>
      <c r="B354" s="30" t="s">
        <v>17</v>
      </c>
      <c r="C354" s="4">
        <v>0</v>
      </c>
      <c r="D354" s="4">
        <v>0</v>
      </c>
      <c r="F354" s="106" t="s">
        <v>357</v>
      </c>
      <c r="H354" s="61">
        <v>0</v>
      </c>
      <c r="I354" s="61">
        <v>0</v>
      </c>
      <c r="J354" s="61">
        <v>0</v>
      </c>
      <c r="K354" s="88"/>
      <c r="L354" s="88"/>
      <c r="M354" s="61">
        <v>0</v>
      </c>
      <c r="N354" s="61">
        <v>0</v>
      </c>
      <c r="O354" s="61">
        <v>0</v>
      </c>
      <c r="P354" s="61">
        <v>0</v>
      </c>
      <c r="Q354" s="61">
        <v>0</v>
      </c>
      <c r="R354" s="61">
        <v>0</v>
      </c>
      <c r="S354" s="61">
        <v>0</v>
      </c>
      <c r="T354" s="61">
        <v>0</v>
      </c>
      <c r="U354" s="61">
        <v>0</v>
      </c>
      <c r="V354" s="61">
        <v>0</v>
      </c>
      <c r="W354" s="61">
        <v>0</v>
      </c>
      <c r="X354" s="61">
        <v>0</v>
      </c>
      <c r="Y354" s="61">
        <v>0</v>
      </c>
      <c r="AA354" s="16"/>
      <c r="AB354" s="20"/>
      <c r="AD354" s="16"/>
      <c r="AE354" s="20"/>
    </row>
    <row r="355" spans="1:31" ht="18" customHeight="1" x14ac:dyDescent="0.2">
      <c r="A355" s="30" t="s">
        <v>294</v>
      </c>
      <c r="B355" s="30" t="s">
        <v>17</v>
      </c>
      <c r="C355" s="4">
        <v>0</v>
      </c>
      <c r="D355" s="4">
        <v>0</v>
      </c>
      <c r="F355" s="106" t="s">
        <v>358</v>
      </c>
      <c r="H355" s="61">
        <v>0</v>
      </c>
      <c r="I355" s="61">
        <v>0</v>
      </c>
      <c r="J355" s="61">
        <v>0</v>
      </c>
      <c r="K355" s="88"/>
      <c r="L355" s="88"/>
      <c r="M355" s="61">
        <v>0</v>
      </c>
      <c r="N355" s="61">
        <v>0</v>
      </c>
      <c r="O355" s="61">
        <v>0</v>
      </c>
      <c r="P355" s="61">
        <v>0</v>
      </c>
      <c r="Q355" s="61">
        <v>0</v>
      </c>
      <c r="R355" s="61">
        <v>0</v>
      </c>
      <c r="S355" s="61">
        <v>0</v>
      </c>
      <c r="T355" s="61">
        <v>0</v>
      </c>
      <c r="U355" s="61">
        <v>0</v>
      </c>
      <c r="V355" s="61">
        <v>0</v>
      </c>
      <c r="W355" s="61">
        <v>0</v>
      </c>
      <c r="X355" s="61">
        <v>0</v>
      </c>
      <c r="Y355" s="61">
        <v>0</v>
      </c>
      <c r="AA355" s="16"/>
      <c r="AB355" s="20"/>
      <c r="AD355" s="16"/>
      <c r="AE355" s="20"/>
    </row>
    <row r="356" spans="1:31" ht="18" customHeight="1" x14ac:dyDescent="0.2">
      <c r="A356" s="30" t="s">
        <v>295</v>
      </c>
      <c r="B356" s="30" t="s">
        <v>17</v>
      </c>
      <c r="C356" s="4">
        <v>0</v>
      </c>
      <c r="D356" s="4">
        <v>0</v>
      </c>
      <c r="F356" s="106" t="s">
        <v>359</v>
      </c>
      <c r="H356" s="61">
        <v>0</v>
      </c>
      <c r="I356" s="61">
        <v>0</v>
      </c>
      <c r="J356" s="61">
        <v>0</v>
      </c>
      <c r="K356" s="88"/>
      <c r="L356" s="88"/>
      <c r="M356" s="61">
        <v>0</v>
      </c>
      <c r="N356" s="61">
        <v>0</v>
      </c>
      <c r="O356" s="61">
        <v>0</v>
      </c>
      <c r="P356" s="61">
        <v>0</v>
      </c>
      <c r="Q356" s="61">
        <v>0</v>
      </c>
      <c r="R356" s="61">
        <v>0</v>
      </c>
      <c r="S356" s="61">
        <v>0</v>
      </c>
      <c r="T356" s="61">
        <v>0</v>
      </c>
      <c r="U356" s="61">
        <v>0</v>
      </c>
      <c r="V356" s="61">
        <v>0</v>
      </c>
      <c r="W356" s="61">
        <v>0</v>
      </c>
      <c r="X356" s="61">
        <v>0</v>
      </c>
      <c r="Y356" s="61">
        <v>0</v>
      </c>
      <c r="AA356" s="16"/>
      <c r="AB356" s="20"/>
      <c r="AD356" s="16"/>
      <c r="AE356" s="20"/>
    </row>
    <row r="357" spans="1:31" ht="18" customHeight="1" x14ac:dyDescent="0.2">
      <c r="A357" s="30" t="s">
        <v>296</v>
      </c>
      <c r="B357" s="30" t="s">
        <v>17</v>
      </c>
      <c r="C357" s="4">
        <v>0</v>
      </c>
      <c r="D357" s="4">
        <v>0</v>
      </c>
      <c r="F357" s="106" t="s">
        <v>360</v>
      </c>
      <c r="H357" s="61">
        <v>0</v>
      </c>
      <c r="I357" s="61">
        <v>0</v>
      </c>
      <c r="J357" s="61">
        <v>0</v>
      </c>
      <c r="K357" s="88"/>
      <c r="L357" s="88"/>
      <c r="M357" s="61">
        <v>0</v>
      </c>
      <c r="N357" s="61">
        <v>0</v>
      </c>
      <c r="O357" s="61">
        <v>0</v>
      </c>
      <c r="P357" s="61">
        <v>0</v>
      </c>
      <c r="Q357" s="61">
        <v>0</v>
      </c>
      <c r="R357" s="61">
        <v>0</v>
      </c>
      <c r="S357" s="61">
        <v>0</v>
      </c>
      <c r="T357" s="61">
        <v>0</v>
      </c>
      <c r="U357" s="61">
        <v>0</v>
      </c>
      <c r="V357" s="61">
        <v>0</v>
      </c>
      <c r="W357" s="61">
        <v>0</v>
      </c>
      <c r="X357" s="61">
        <v>0</v>
      </c>
      <c r="Y357" s="61">
        <v>0</v>
      </c>
      <c r="AA357" s="16"/>
      <c r="AB357" s="20"/>
      <c r="AD357" s="16"/>
      <c r="AE357" s="20"/>
    </row>
    <row r="358" spans="1:31" ht="18" customHeight="1" x14ac:dyDescent="0.2">
      <c r="A358" s="30" t="s">
        <v>297</v>
      </c>
      <c r="B358" s="30" t="s">
        <v>17</v>
      </c>
      <c r="C358" s="4">
        <v>0</v>
      </c>
      <c r="D358" s="4">
        <v>0</v>
      </c>
      <c r="F358" s="106" t="s">
        <v>361</v>
      </c>
      <c r="H358" s="61">
        <v>0</v>
      </c>
      <c r="I358" s="61">
        <v>0</v>
      </c>
      <c r="J358" s="61">
        <v>0</v>
      </c>
      <c r="K358" s="88"/>
      <c r="L358" s="88"/>
      <c r="M358" s="61">
        <v>0</v>
      </c>
      <c r="N358" s="61">
        <v>0</v>
      </c>
      <c r="O358" s="61">
        <v>0</v>
      </c>
      <c r="P358" s="61">
        <v>0</v>
      </c>
      <c r="Q358" s="61">
        <v>0</v>
      </c>
      <c r="R358" s="61">
        <v>0</v>
      </c>
      <c r="S358" s="61">
        <v>0</v>
      </c>
      <c r="T358" s="61">
        <v>0</v>
      </c>
      <c r="U358" s="61">
        <v>0</v>
      </c>
      <c r="V358" s="61">
        <v>0</v>
      </c>
      <c r="W358" s="61">
        <v>0</v>
      </c>
      <c r="X358" s="61">
        <v>0</v>
      </c>
      <c r="Y358" s="61">
        <v>0</v>
      </c>
      <c r="AA358" s="16"/>
      <c r="AB358" s="20"/>
      <c r="AD358" s="16"/>
      <c r="AE358" s="20"/>
    </row>
    <row r="359" spans="1:31" ht="18" customHeight="1" collapsed="1" x14ac:dyDescent="0.2">
      <c r="A359" s="30" t="s">
        <v>292</v>
      </c>
      <c r="B359" s="30" t="s">
        <v>17</v>
      </c>
      <c r="C359" s="4">
        <v>0</v>
      </c>
      <c r="D359" s="4">
        <v>0</v>
      </c>
      <c r="F359" s="107" t="s">
        <v>362</v>
      </c>
      <c r="H359" s="79">
        <v>0</v>
      </c>
      <c r="I359" s="79">
        <v>0</v>
      </c>
      <c r="J359" s="79">
        <v>0</v>
      </c>
      <c r="K359" s="89"/>
      <c r="L359" s="89"/>
      <c r="M359" s="79">
        <v>0</v>
      </c>
      <c r="N359" s="79">
        <v>0</v>
      </c>
      <c r="O359" s="79">
        <v>0</v>
      </c>
      <c r="P359" s="79">
        <v>0</v>
      </c>
      <c r="Q359" s="79">
        <v>0</v>
      </c>
      <c r="R359" s="79">
        <v>0</v>
      </c>
      <c r="S359" s="79">
        <v>0</v>
      </c>
      <c r="T359" s="79">
        <v>0</v>
      </c>
      <c r="U359" s="79">
        <v>0</v>
      </c>
      <c r="V359" s="79">
        <v>0</v>
      </c>
      <c r="W359" s="79">
        <v>0</v>
      </c>
      <c r="X359" s="79">
        <v>0</v>
      </c>
      <c r="Y359" s="79">
        <v>0</v>
      </c>
      <c r="AA359" s="16"/>
      <c r="AB359" s="20"/>
      <c r="AD359" s="16"/>
      <c r="AE359" s="20"/>
    </row>
    <row r="360" spans="1:31" ht="15" x14ac:dyDescent="0.2">
      <c r="A360" s="4"/>
      <c r="B360" s="4"/>
      <c r="C360" s="4"/>
      <c r="D360" s="4"/>
      <c r="F360" s="96"/>
      <c r="H360" s="16"/>
      <c r="I360" s="16"/>
      <c r="J360" s="16"/>
      <c r="K360" s="85"/>
      <c r="L360" s="85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AA360" s="16"/>
      <c r="AB360" s="20"/>
      <c r="AD360" s="16"/>
      <c r="AE360" s="20"/>
    </row>
    <row r="361" spans="1:31" ht="18" hidden="1" customHeight="1" outlineLevel="1" x14ac:dyDescent="0.2">
      <c r="A361" s="30" t="s">
        <v>112</v>
      </c>
      <c r="B361" s="30" t="s">
        <v>17</v>
      </c>
      <c r="C361" s="4">
        <v>1</v>
      </c>
      <c r="D361" s="4">
        <v>1</v>
      </c>
      <c r="F361" s="50" t="s">
        <v>113</v>
      </c>
      <c r="H361" s="60">
        <v>1</v>
      </c>
      <c r="I361" s="60">
        <v>1</v>
      </c>
      <c r="J361" s="60">
        <v>1</v>
      </c>
      <c r="K361" s="90">
        <v>0</v>
      </c>
      <c r="L361" s="90">
        <v>0</v>
      </c>
      <c r="M361" s="60">
        <v>0</v>
      </c>
      <c r="N361" s="60">
        <v>0</v>
      </c>
      <c r="O361" s="60">
        <v>0</v>
      </c>
      <c r="P361" s="60">
        <v>0</v>
      </c>
      <c r="Q361" s="60">
        <v>1</v>
      </c>
      <c r="R361" s="60">
        <v>0</v>
      </c>
      <c r="S361" s="60">
        <v>0</v>
      </c>
      <c r="T361" s="60">
        <v>0</v>
      </c>
      <c r="U361" s="60">
        <v>0</v>
      </c>
      <c r="V361" s="60">
        <v>0</v>
      </c>
      <c r="W361" s="60">
        <v>0</v>
      </c>
      <c r="X361" s="60">
        <v>0</v>
      </c>
      <c r="Y361" s="60">
        <v>1</v>
      </c>
      <c r="AA361" s="60">
        <v>0</v>
      </c>
      <c r="AB361" s="60">
        <v>1</v>
      </c>
      <c r="AD361" s="60">
        <v>0</v>
      </c>
      <c r="AE361" s="60">
        <v>1</v>
      </c>
    </row>
    <row r="362" spans="1:31" ht="12.95" hidden="1" customHeight="1" outlineLevel="1" x14ac:dyDescent="0.2">
      <c r="A362" s="35"/>
      <c r="B362" s="35"/>
      <c r="C362" s="4"/>
      <c r="D362" s="4"/>
      <c r="F362" s="51" t="s">
        <v>114</v>
      </c>
      <c r="H362" s="80">
        <v>1</v>
      </c>
      <c r="I362" s="80">
        <v>1</v>
      </c>
      <c r="J362" s="80">
        <v>1</v>
      </c>
      <c r="K362" s="91">
        <v>0</v>
      </c>
      <c r="L362" s="91">
        <v>0</v>
      </c>
      <c r="M362" s="80">
        <v>0</v>
      </c>
      <c r="N362" s="80">
        <v>0</v>
      </c>
      <c r="O362" s="80">
        <v>0</v>
      </c>
      <c r="P362" s="80">
        <v>0</v>
      </c>
      <c r="Q362" s="80">
        <v>1</v>
      </c>
      <c r="R362" s="80">
        <v>0</v>
      </c>
      <c r="S362" s="80">
        <v>0</v>
      </c>
      <c r="T362" s="80">
        <v>0</v>
      </c>
      <c r="U362" s="80">
        <v>0</v>
      </c>
      <c r="V362" s="80">
        <v>0</v>
      </c>
      <c r="W362" s="80">
        <v>0</v>
      </c>
      <c r="X362" s="80">
        <v>0</v>
      </c>
      <c r="Y362" s="80">
        <v>1</v>
      </c>
      <c r="AA362" s="80">
        <v>0</v>
      </c>
      <c r="AB362" s="69"/>
      <c r="AD362" s="80">
        <v>0</v>
      </c>
      <c r="AE362" s="69"/>
    </row>
    <row r="363" spans="1:31" ht="18" hidden="1" customHeight="1" outlineLevel="1" x14ac:dyDescent="0.2">
      <c r="A363" s="33" t="s">
        <v>100</v>
      </c>
      <c r="B363" s="33" t="s">
        <v>17</v>
      </c>
      <c r="C363" s="4"/>
      <c r="D363" s="4"/>
      <c r="F363" s="38" t="s">
        <v>103</v>
      </c>
      <c r="H363" s="66">
        <v>1</v>
      </c>
      <c r="I363" s="66">
        <v>1</v>
      </c>
      <c r="J363" s="66">
        <v>1</v>
      </c>
      <c r="K363" s="86">
        <v>0</v>
      </c>
      <c r="L363" s="86">
        <v>0</v>
      </c>
      <c r="M363" s="66">
        <v>1</v>
      </c>
      <c r="N363" s="66">
        <v>1</v>
      </c>
      <c r="O363" s="66">
        <v>1</v>
      </c>
      <c r="P363" s="66">
        <v>1</v>
      </c>
      <c r="Q363" s="66">
        <v>1</v>
      </c>
      <c r="R363" s="66">
        <v>1</v>
      </c>
      <c r="S363" s="66">
        <v>1</v>
      </c>
      <c r="T363" s="66">
        <v>1</v>
      </c>
      <c r="U363" s="66">
        <v>1</v>
      </c>
      <c r="V363" s="66">
        <v>1</v>
      </c>
      <c r="W363" s="66">
        <v>1</v>
      </c>
      <c r="X363" s="66">
        <v>1</v>
      </c>
      <c r="Y363" s="66">
        <v>1</v>
      </c>
      <c r="AA363" s="66">
        <v>0</v>
      </c>
      <c r="AB363" s="60">
        <v>1</v>
      </c>
      <c r="AD363" s="66">
        <v>0</v>
      </c>
      <c r="AE363" s="60">
        <v>1</v>
      </c>
    </row>
    <row r="364" spans="1:31" ht="18" hidden="1" customHeight="1" outlineLevel="1" x14ac:dyDescent="0.2">
      <c r="A364" s="33" t="s">
        <v>101</v>
      </c>
      <c r="B364" s="33" t="s">
        <v>102</v>
      </c>
      <c r="C364" s="4"/>
      <c r="D364" s="4"/>
      <c r="F364" s="38" t="s">
        <v>104</v>
      </c>
      <c r="H364" s="66">
        <v>0</v>
      </c>
      <c r="I364" s="66">
        <v>0</v>
      </c>
      <c r="J364" s="66">
        <v>0</v>
      </c>
      <c r="K364" s="86">
        <v>0</v>
      </c>
      <c r="L364" s="86">
        <v>0</v>
      </c>
      <c r="M364" s="66">
        <v>0</v>
      </c>
      <c r="N364" s="66">
        <v>0</v>
      </c>
      <c r="O364" s="66">
        <v>0</v>
      </c>
      <c r="P364" s="66">
        <v>0</v>
      </c>
      <c r="Q364" s="66">
        <v>0</v>
      </c>
      <c r="R364" s="66">
        <v>0</v>
      </c>
      <c r="S364" s="66">
        <v>0</v>
      </c>
      <c r="T364" s="66">
        <v>0</v>
      </c>
      <c r="U364" s="66">
        <v>0</v>
      </c>
      <c r="V364" s="66">
        <v>0</v>
      </c>
      <c r="W364" s="66">
        <v>0</v>
      </c>
      <c r="X364" s="66">
        <v>0</v>
      </c>
      <c r="Y364" s="66">
        <v>0</v>
      </c>
      <c r="AA364" s="66">
        <v>0</v>
      </c>
      <c r="AB364" s="60">
        <v>0</v>
      </c>
      <c r="AD364" s="66">
        <v>0</v>
      </c>
      <c r="AE364" s="60">
        <v>0</v>
      </c>
    </row>
    <row r="365" spans="1:31" ht="18" customHeight="1" collapsed="1" x14ac:dyDescent="0.2">
      <c r="A365" s="32"/>
      <c r="B365" s="32"/>
      <c r="C365" s="4">
        <v>1</v>
      </c>
      <c r="D365" s="4">
        <v>1</v>
      </c>
      <c r="F365" s="107" t="s">
        <v>105</v>
      </c>
      <c r="G365" s="7"/>
      <c r="H365" s="58">
        <v>1</v>
      </c>
      <c r="I365" s="58">
        <v>1</v>
      </c>
      <c r="J365" s="58">
        <v>1</v>
      </c>
      <c r="K365" s="92">
        <v>0</v>
      </c>
      <c r="L365" s="92">
        <v>0</v>
      </c>
      <c r="M365" s="58">
        <v>1</v>
      </c>
      <c r="N365" s="58">
        <v>1</v>
      </c>
      <c r="O365" s="58">
        <v>1</v>
      </c>
      <c r="P365" s="58">
        <v>1</v>
      </c>
      <c r="Q365" s="58">
        <v>1</v>
      </c>
      <c r="R365" s="58">
        <v>1</v>
      </c>
      <c r="S365" s="58">
        <v>1</v>
      </c>
      <c r="T365" s="58">
        <v>1</v>
      </c>
      <c r="U365" s="58">
        <v>1</v>
      </c>
      <c r="V365" s="58">
        <v>1</v>
      </c>
      <c r="W365" s="58">
        <v>1</v>
      </c>
      <c r="X365" s="58">
        <v>1</v>
      </c>
      <c r="Y365" s="58">
        <v>1</v>
      </c>
      <c r="AA365" s="58">
        <v>0</v>
      </c>
      <c r="AB365" s="60">
        <v>1</v>
      </c>
      <c r="AD365" s="58">
        <v>0</v>
      </c>
      <c r="AE365" s="60">
        <v>1</v>
      </c>
    </row>
    <row r="366" spans="1:31" ht="18" customHeight="1" x14ac:dyDescent="0.2">
      <c r="A366" s="32"/>
      <c r="B366" s="32"/>
      <c r="C366" s="4"/>
      <c r="D366" s="4"/>
      <c r="F366" s="191" t="s">
        <v>402</v>
      </c>
      <c r="G366" s="7"/>
      <c r="H366" s="194">
        <v>1</v>
      </c>
      <c r="I366" s="194">
        <v>1</v>
      </c>
      <c r="J366" s="194">
        <v>1</v>
      </c>
      <c r="K366" s="194">
        <v>0</v>
      </c>
      <c r="L366" s="194">
        <v>0</v>
      </c>
      <c r="M366" s="194">
        <v>1</v>
      </c>
      <c r="N366" s="194">
        <v>1</v>
      </c>
      <c r="O366" s="194">
        <v>1</v>
      </c>
      <c r="P366" s="194">
        <v>1</v>
      </c>
      <c r="Q366" s="194">
        <v>1</v>
      </c>
      <c r="R366" s="194">
        <v>1</v>
      </c>
      <c r="S366" s="194">
        <v>1</v>
      </c>
      <c r="T366" s="194">
        <v>1</v>
      </c>
      <c r="U366" s="194">
        <v>1</v>
      </c>
      <c r="V366" s="194">
        <v>1</v>
      </c>
      <c r="W366" s="194">
        <v>1</v>
      </c>
      <c r="X366" s="194">
        <v>1</v>
      </c>
      <c r="Y366" s="194">
        <v>1</v>
      </c>
      <c r="AA366" s="20"/>
      <c r="AB366" s="190"/>
      <c r="AD366" s="190"/>
      <c r="AE366" s="190"/>
    </row>
    <row r="367" spans="1:31" ht="18" hidden="1" customHeight="1" outlineLevel="1" x14ac:dyDescent="0.2">
      <c r="A367" s="192" t="s">
        <v>101</v>
      </c>
      <c r="B367" s="192" t="s">
        <v>403</v>
      </c>
      <c r="C367" s="4"/>
      <c r="D367" s="4"/>
      <c r="F367" s="193" t="s">
        <v>404</v>
      </c>
      <c r="G367" s="7"/>
      <c r="H367" s="66">
        <v>0</v>
      </c>
      <c r="I367" s="66">
        <v>0</v>
      </c>
      <c r="J367" s="66">
        <v>0</v>
      </c>
      <c r="K367" s="86">
        <v>0</v>
      </c>
      <c r="L367" s="86">
        <v>0</v>
      </c>
      <c r="M367" s="66">
        <v>0</v>
      </c>
      <c r="N367" s="66">
        <v>0</v>
      </c>
      <c r="O367" s="66">
        <v>0</v>
      </c>
      <c r="P367" s="66">
        <v>0</v>
      </c>
      <c r="Q367" s="66">
        <v>0</v>
      </c>
      <c r="R367" s="66">
        <v>0</v>
      </c>
      <c r="S367" s="66">
        <v>0</v>
      </c>
      <c r="T367" s="66">
        <v>0</v>
      </c>
      <c r="U367" s="66">
        <v>0</v>
      </c>
      <c r="V367" s="66">
        <v>0</v>
      </c>
      <c r="W367" s="66">
        <v>0</v>
      </c>
      <c r="X367" s="66">
        <v>0</v>
      </c>
      <c r="Y367" s="66">
        <v>0</v>
      </c>
      <c r="AA367" s="20"/>
      <c r="AB367" s="190"/>
      <c r="AD367" s="189"/>
      <c r="AE367" s="190"/>
    </row>
    <row r="368" spans="1:31" ht="18" hidden="1" customHeight="1" outlineLevel="1" x14ac:dyDescent="0.2">
      <c r="A368" s="192" t="s">
        <v>405</v>
      </c>
      <c r="B368" s="192" t="s">
        <v>17</v>
      </c>
      <c r="C368" s="4"/>
      <c r="D368" s="4"/>
      <c r="F368" s="193" t="s">
        <v>406</v>
      </c>
      <c r="G368" s="7"/>
      <c r="H368" s="66">
        <v>0</v>
      </c>
      <c r="I368" s="66">
        <v>0</v>
      </c>
      <c r="J368" s="66">
        <v>0</v>
      </c>
      <c r="K368" s="86">
        <v>0</v>
      </c>
      <c r="L368" s="86">
        <v>0</v>
      </c>
      <c r="M368" s="66">
        <v>0</v>
      </c>
      <c r="N368" s="66">
        <v>0</v>
      </c>
      <c r="O368" s="66">
        <v>0</v>
      </c>
      <c r="P368" s="66">
        <v>0</v>
      </c>
      <c r="Q368" s="66">
        <v>0</v>
      </c>
      <c r="R368" s="66">
        <v>0</v>
      </c>
      <c r="S368" s="66">
        <v>0</v>
      </c>
      <c r="T368" s="66">
        <v>0</v>
      </c>
      <c r="U368" s="66">
        <v>0</v>
      </c>
      <c r="V368" s="66">
        <v>0</v>
      </c>
      <c r="W368" s="66">
        <v>0</v>
      </c>
      <c r="X368" s="66">
        <v>0</v>
      </c>
      <c r="Y368" s="66">
        <v>0</v>
      </c>
      <c r="AA368" s="20"/>
      <c r="AB368" s="190"/>
      <c r="AD368" s="189"/>
      <c r="AE368" s="190"/>
    </row>
    <row r="369" spans="1:33" ht="18" customHeight="1" collapsed="1" x14ac:dyDescent="0.2">
      <c r="A369" s="32"/>
      <c r="B369" s="32"/>
      <c r="C369" s="4"/>
      <c r="D369" s="4"/>
      <c r="F369" s="191" t="s">
        <v>407</v>
      </c>
      <c r="G369" s="7"/>
      <c r="H369" s="194">
        <v>0</v>
      </c>
      <c r="I369" s="194">
        <v>0</v>
      </c>
      <c r="J369" s="194">
        <v>0</v>
      </c>
      <c r="K369" s="194">
        <v>0</v>
      </c>
      <c r="L369" s="194">
        <v>0</v>
      </c>
      <c r="M369" s="194">
        <v>0</v>
      </c>
      <c r="N369" s="194">
        <v>0</v>
      </c>
      <c r="O369" s="194">
        <v>0</v>
      </c>
      <c r="P369" s="194">
        <v>0</v>
      </c>
      <c r="Q369" s="194">
        <v>0</v>
      </c>
      <c r="R369" s="194">
        <v>0</v>
      </c>
      <c r="S369" s="194">
        <v>0</v>
      </c>
      <c r="T369" s="194">
        <v>0</v>
      </c>
      <c r="U369" s="194">
        <v>0</v>
      </c>
      <c r="V369" s="194">
        <v>0</v>
      </c>
      <c r="W369" s="194">
        <v>0</v>
      </c>
      <c r="X369" s="194">
        <v>0</v>
      </c>
      <c r="Y369" s="194">
        <v>0</v>
      </c>
      <c r="AA369" s="20"/>
      <c r="AB369" s="190"/>
      <c r="AD369" s="190"/>
      <c r="AE369" s="190"/>
    </row>
    <row r="370" spans="1:33" ht="18" customHeight="1" x14ac:dyDescent="0.2">
      <c r="A370" s="30" t="s">
        <v>106</v>
      </c>
      <c r="B370" s="30" t="s">
        <v>17</v>
      </c>
      <c r="C370" s="4"/>
      <c r="D370" s="4"/>
      <c r="F370" s="106" t="s">
        <v>108</v>
      </c>
      <c r="H370" s="61">
        <v>0</v>
      </c>
      <c r="I370" s="61">
        <v>0</v>
      </c>
      <c r="J370" s="61">
        <v>0</v>
      </c>
      <c r="K370" s="86"/>
      <c r="L370" s="86"/>
      <c r="M370" s="61">
        <v>0</v>
      </c>
      <c r="N370" s="61">
        <v>0</v>
      </c>
      <c r="O370" s="61">
        <v>0</v>
      </c>
      <c r="P370" s="61">
        <v>0</v>
      </c>
      <c r="Q370" s="61">
        <v>0</v>
      </c>
      <c r="R370" s="61">
        <v>0</v>
      </c>
      <c r="S370" s="61">
        <v>0</v>
      </c>
      <c r="T370" s="61">
        <v>0</v>
      </c>
      <c r="U370" s="61">
        <v>0</v>
      </c>
      <c r="V370" s="61">
        <v>0</v>
      </c>
      <c r="W370" s="61">
        <v>0</v>
      </c>
      <c r="X370" s="61">
        <v>0</v>
      </c>
      <c r="Y370" s="61">
        <v>0</v>
      </c>
      <c r="AA370" s="20"/>
      <c r="AB370" s="16"/>
      <c r="AD370" s="20"/>
      <c r="AE370" s="16"/>
    </row>
    <row r="371" spans="1:33" ht="18" customHeight="1" x14ac:dyDescent="0.2">
      <c r="A371" s="30" t="s">
        <v>107</v>
      </c>
      <c r="B371" s="30" t="s">
        <v>17</v>
      </c>
      <c r="C371" s="4"/>
      <c r="D371" s="4"/>
      <c r="F371" s="106" t="s">
        <v>109</v>
      </c>
      <c r="H371" s="61">
        <v>0</v>
      </c>
      <c r="I371" s="61">
        <v>0</v>
      </c>
      <c r="J371" s="61">
        <v>0</v>
      </c>
      <c r="K371" s="86"/>
      <c r="L371" s="86"/>
      <c r="M371" s="61">
        <v>0</v>
      </c>
      <c r="N371" s="61">
        <v>0</v>
      </c>
      <c r="O371" s="61">
        <v>0</v>
      </c>
      <c r="P371" s="61">
        <v>0</v>
      </c>
      <c r="Q371" s="61">
        <v>0</v>
      </c>
      <c r="R371" s="61">
        <v>0</v>
      </c>
      <c r="S371" s="61">
        <v>0</v>
      </c>
      <c r="T371" s="61">
        <v>0</v>
      </c>
      <c r="U371" s="61">
        <v>0</v>
      </c>
      <c r="V371" s="61">
        <v>0</v>
      </c>
      <c r="W371" s="61">
        <v>0</v>
      </c>
      <c r="X371" s="61">
        <v>0</v>
      </c>
      <c r="Y371" s="61">
        <v>0</v>
      </c>
      <c r="AA371" s="20"/>
      <c r="AB371" s="16"/>
      <c r="AD371" s="20"/>
      <c r="AE371" s="16"/>
    </row>
    <row r="372" spans="1:33" ht="18" customHeight="1" x14ac:dyDescent="0.2">
      <c r="A372" s="30"/>
      <c r="B372" s="30"/>
      <c r="C372" s="4"/>
      <c r="D372" s="4"/>
      <c r="F372" s="106" t="s">
        <v>110</v>
      </c>
      <c r="H372" s="61">
        <v>-3</v>
      </c>
      <c r="I372" s="61">
        <v>0</v>
      </c>
      <c r="J372" s="61">
        <v>0</v>
      </c>
      <c r="K372" s="86"/>
      <c r="L372" s="86"/>
      <c r="M372" s="61">
        <v>0</v>
      </c>
      <c r="N372" s="61">
        <v>0</v>
      </c>
      <c r="O372" s="61">
        <v>0</v>
      </c>
      <c r="P372" s="61">
        <v>0</v>
      </c>
      <c r="Q372" s="61">
        <v>0</v>
      </c>
      <c r="R372" s="61">
        <v>0</v>
      </c>
      <c r="S372" s="61">
        <v>0</v>
      </c>
      <c r="T372" s="61">
        <v>0</v>
      </c>
      <c r="U372" s="61">
        <v>0</v>
      </c>
      <c r="V372" s="61">
        <v>0</v>
      </c>
      <c r="W372" s="61">
        <v>0</v>
      </c>
      <c r="X372" s="61">
        <v>0</v>
      </c>
      <c r="Y372" s="61">
        <v>0</v>
      </c>
      <c r="AA372" s="20"/>
      <c r="AB372" s="16"/>
      <c r="AD372" s="20"/>
      <c r="AE372" s="16"/>
    </row>
    <row r="373" spans="1:33" ht="18" customHeight="1" collapsed="1" x14ac:dyDescent="0.2">
      <c r="A373" s="32"/>
      <c r="B373" s="32"/>
      <c r="C373" s="4">
        <v>1</v>
      </c>
      <c r="D373" s="4">
        <v>1</v>
      </c>
      <c r="F373" s="107" t="s">
        <v>111</v>
      </c>
      <c r="H373" s="58">
        <v>-3</v>
      </c>
      <c r="I373" s="58">
        <v>0</v>
      </c>
      <c r="J373" s="58">
        <v>0</v>
      </c>
      <c r="K373" s="92">
        <v>-1</v>
      </c>
      <c r="L373" s="92">
        <v>-1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AA373" s="58">
        <v>-1</v>
      </c>
      <c r="AB373" s="60">
        <v>1</v>
      </c>
      <c r="AD373" s="58">
        <v>-1</v>
      </c>
      <c r="AE373" s="60">
        <v>1</v>
      </c>
    </row>
    <row r="374" spans="1:33" ht="15" x14ac:dyDescent="0.2">
      <c r="A374" s="4"/>
      <c r="B374" s="4"/>
      <c r="C374" s="4"/>
      <c r="D374" s="4"/>
      <c r="F374" s="96"/>
      <c r="H374" s="16"/>
      <c r="I374" s="16"/>
      <c r="J374" s="16"/>
      <c r="K374" s="85"/>
      <c r="L374" s="85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AA374" s="16"/>
      <c r="AB374" s="8"/>
      <c r="AD374" s="16"/>
      <c r="AE374" s="8"/>
    </row>
    <row r="375" spans="1:33" ht="15" x14ac:dyDescent="0.2">
      <c r="F375" s="102" t="s">
        <v>370</v>
      </c>
      <c r="H375" s="81">
        <v>16.142321608040199</v>
      </c>
      <c r="I375" s="81">
        <v>9.5104964539007089</v>
      </c>
      <c r="J375" s="81">
        <v>9.5104964539007106</v>
      </c>
      <c r="K375" s="83">
        <v>9.921985815602838</v>
      </c>
      <c r="L375" s="83">
        <v>7.8071808510638308</v>
      </c>
      <c r="M375" s="81">
        <v>7.9052365930599366</v>
      </c>
      <c r="N375" s="81">
        <v>7.561703470031544</v>
      </c>
      <c r="O375" s="81">
        <v>8.7931448763250888</v>
      </c>
      <c r="P375" s="81">
        <v>7.29242902208202</v>
      </c>
      <c r="Q375" s="81">
        <v>6.334258675078865</v>
      </c>
      <c r="R375" s="81">
        <v>7.6493375394321754</v>
      </c>
      <c r="S375" s="81">
        <v>8.4767192429022096</v>
      </c>
      <c r="T375" s="81">
        <v>6.9873817034700307</v>
      </c>
      <c r="U375" s="81">
        <v>10.799678714859425</v>
      </c>
      <c r="V375" s="81">
        <v>7.4632530120481935</v>
      </c>
      <c r="W375" s="81">
        <v>9.3345783132530009</v>
      </c>
      <c r="X375" s="81">
        <v>8.1549397590361608</v>
      </c>
      <c r="Y375" s="81">
        <v>8.0094849212703494</v>
      </c>
      <c r="AA375" s="81">
        <v>9.921985815602838</v>
      </c>
      <c r="AB375" s="8"/>
      <c r="AD375" s="81">
        <v>7.8071808510638308</v>
      </c>
      <c r="AE375" s="8"/>
    </row>
    <row r="376" spans="1:33" ht="15" x14ac:dyDescent="0.2">
      <c r="F376" s="102" t="s">
        <v>371</v>
      </c>
      <c r="H376" s="81">
        <v>0</v>
      </c>
      <c r="I376" s="81">
        <v>29.272952182952181</v>
      </c>
      <c r="J376" s="81">
        <v>29.272952182952189</v>
      </c>
      <c r="K376" s="83">
        <v>27.98</v>
      </c>
      <c r="L376" s="83">
        <v>29.355</v>
      </c>
      <c r="M376" s="81">
        <v>30.192289156626504</v>
      </c>
      <c r="N376" s="81">
        <v>28.880240963855417</v>
      </c>
      <c r="O376" s="81">
        <v>29.981445783132536</v>
      </c>
      <c r="P376" s="81">
        <v>27.851807228915657</v>
      </c>
      <c r="Q376" s="81">
        <v>24.192289156626511</v>
      </c>
      <c r="R376" s="81">
        <v>29.214939759036142</v>
      </c>
      <c r="S376" s="81">
        <v>32.374939759036153</v>
      </c>
      <c r="T376" s="81">
        <v>26.686746987951782</v>
      </c>
      <c r="U376" s="81">
        <v>32.399036144578297</v>
      </c>
      <c r="V376" s="81">
        <v>29.853012048192827</v>
      </c>
      <c r="W376" s="81">
        <v>37.338313253012004</v>
      </c>
      <c r="X376" s="81">
        <v>32.619759036144586</v>
      </c>
      <c r="Y376" s="81">
        <v>30.132068273092369</v>
      </c>
      <c r="AA376" s="81">
        <v>27.98</v>
      </c>
      <c r="AB376" s="8"/>
      <c r="AD376" s="81">
        <v>29.355</v>
      </c>
      <c r="AE376" s="8"/>
    </row>
    <row r="377" spans="1:33" s="11" customFormat="1" ht="15" x14ac:dyDescent="0.2">
      <c r="A377" s="8"/>
      <c r="B377" s="8"/>
      <c r="C377" s="8"/>
      <c r="D377" s="8"/>
      <c r="E377" s="8"/>
      <c r="F377" s="103"/>
      <c r="G377" s="8"/>
      <c r="H377" s="82"/>
      <c r="I377" s="16"/>
      <c r="J377" s="16"/>
      <c r="K377" s="84"/>
      <c r="L377" s="84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8"/>
      <c r="AA377" s="16"/>
      <c r="AB377" s="8"/>
      <c r="AC377" s="8"/>
      <c r="AD377" s="16"/>
      <c r="AE377" s="8"/>
      <c r="AF377" s="8"/>
      <c r="AG377" s="8"/>
    </row>
    <row r="378" spans="1:33" s="11" customFormat="1" ht="15" x14ac:dyDescent="0.2">
      <c r="A378" s="8"/>
      <c r="B378" s="8"/>
      <c r="C378" s="8"/>
      <c r="D378" s="8"/>
      <c r="E378" s="8"/>
      <c r="F378" s="102" t="s">
        <v>356</v>
      </c>
      <c r="G378" s="8"/>
      <c r="H378" s="81">
        <v>192.11367976186699</v>
      </c>
      <c r="I378" s="81">
        <v>233.82281188810742</v>
      </c>
      <c r="J378" s="81">
        <v>233.8228118881074</v>
      </c>
      <c r="K378" s="83">
        <v>227.84213724088636</v>
      </c>
      <c r="L378" s="83">
        <v>217.80442854709591</v>
      </c>
      <c r="M378" s="81">
        <v>18.295151026619209</v>
      </c>
      <c r="N378" s="81">
        <v>18.703154419719713</v>
      </c>
      <c r="O378" s="81">
        <v>18.810629867468229</v>
      </c>
      <c r="P378" s="81">
        <v>22.166983893527135</v>
      </c>
      <c r="Q378" s="81">
        <v>22.249156689708308</v>
      </c>
      <c r="R378" s="81">
        <v>19.438739600688418</v>
      </c>
      <c r="S378" s="81">
        <v>15.368343554933668</v>
      </c>
      <c r="T378" s="81">
        <v>19.764409330323545</v>
      </c>
      <c r="U378" s="81">
        <v>17.266274221058676</v>
      </c>
      <c r="V378" s="81">
        <v>16.941877202895057</v>
      </c>
      <c r="W378" s="81">
        <v>15.646928550838737</v>
      </c>
      <c r="X378" s="81">
        <v>18.077839829014369</v>
      </c>
      <c r="Y378" s="81">
        <v>220.50071405865879</v>
      </c>
      <c r="Z378" s="8"/>
      <c r="AA378" s="81">
        <v>227.84213724088636</v>
      </c>
      <c r="AB378" s="8"/>
      <c r="AC378" s="8"/>
      <c r="AD378" s="81">
        <v>217.80442854709591</v>
      </c>
      <c r="AE378" s="8"/>
      <c r="AF378" s="8"/>
      <c r="AG378" s="8"/>
    </row>
    <row r="379" spans="1:33" ht="15" x14ac:dyDescent="0.2">
      <c r="F379" s="96"/>
      <c r="H379" s="16"/>
      <c r="I379" s="16"/>
      <c r="J379" s="16"/>
      <c r="K379" s="85"/>
      <c r="L379" s="85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AA379" s="16"/>
      <c r="AB379" s="8"/>
      <c r="AD379" s="16"/>
      <c r="AE379" s="8"/>
    </row>
    <row r="380" spans="1:33" s="11" customFormat="1" ht="15" x14ac:dyDescent="0.2">
      <c r="A380" s="8"/>
      <c r="B380" s="8"/>
      <c r="C380" s="8"/>
      <c r="D380" s="8"/>
      <c r="E380" s="8"/>
      <c r="F380" s="102" t="s">
        <v>254</v>
      </c>
      <c r="G380" s="8"/>
      <c r="H380" s="81">
        <v>7.968818972421662</v>
      </c>
      <c r="I380" s="81">
        <v>6.0417834418330933</v>
      </c>
      <c r="J380" s="81">
        <v>6.0417834418330942</v>
      </c>
      <c r="K380" s="83">
        <v>4.4922018348623851</v>
      </c>
      <c r="L380" s="83">
        <v>4.9269889224572001</v>
      </c>
      <c r="M380" s="81">
        <v>7.0239929526707767</v>
      </c>
      <c r="N380" s="81">
        <v>7.2387489214840368</v>
      </c>
      <c r="O380" s="81">
        <v>5.7345338425072443</v>
      </c>
      <c r="P380" s="81">
        <v>5.446983977379829</v>
      </c>
      <c r="Q380" s="81">
        <v>4.8083333333333318</v>
      </c>
      <c r="R380" s="81">
        <v>6.2116226304618323</v>
      </c>
      <c r="S380" s="81">
        <v>7.6925568460657638</v>
      </c>
      <c r="T380" s="81">
        <v>6.6306021211084429</v>
      </c>
      <c r="U380" s="81">
        <v>7.9492567567567551</v>
      </c>
      <c r="V380" s="81">
        <v>6.4713827326318967</v>
      </c>
      <c r="W380" s="81">
        <v>7.2738599785407718</v>
      </c>
      <c r="X380" s="81">
        <v>7.1495699411498537</v>
      </c>
      <c r="Y380" s="81">
        <v>6.5764097844393108</v>
      </c>
      <c r="Z380" s="8"/>
      <c r="AA380" s="81">
        <v>4.4922018348623851</v>
      </c>
      <c r="AB380" s="8"/>
      <c r="AC380" s="8"/>
      <c r="AD380" s="81">
        <v>4.9269889224572001</v>
      </c>
      <c r="AE380" s="8"/>
      <c r="AF380" s="8"/>
      <c r="AG380" s="8"/>
    </row>
    <row r="381" spans="1:33" s="11" customFormat="1" ht="15" x14ac:dyDescent="0.2">
      <c r="A381" s="8"/>
      <c r="B381" s="8"/>
      <c r="C381" s="8"/>
      <c r="D381" s="8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8"/>
      <c r="AC381" s="20"/>
      <c r="AD381" s="20"/>
      <c r="AE381" s="8"/>
      <c r="AF381" s="8"/>
      <c r="AG381" s="8"/>
    </row>
    <row r="382" spans="1:33" s="11" customFormat="1" x14ac:dyDescent="0.2">
      <c r="A382" s="42" t="s">
        <v>30</v>
      </c>
      <c r="B382" s="42" t="s">
        <v>17</v>
      </c>
      <c r="C382" s="8"/>
      <c r="D382" s="8"/>
      <c r="E382" s="8"/>
      <c r="F382" s="43" t="s">
        <v>253</v>
      </c>
      <c r="G382" s="8"/>
      <c r="H382" s="44">
        <v>-1.0231815394945443E-12</v>
      </c>
      <c r="I382" s="44">
        <v>0</v>
      </c>
      <c r="J382" s="44">
        <v>0</v>
      </c>
      <c r="K382" s="44">
        <v>0</v>
      </c>
      <c r="L382" s="44">
        <v>0</v>
      </c>
      <c r="M382" s="44">
        <v>0</v>
      </c>
      <c r="N382" s="44">
        <v>5.6843418860808015E-14</v>
      </c>
      <c r="O382" s="44">
        <v>1.7053025658242404E-13</v>
      </c>
      <c r="P382" s="44">
        <v>1.7053025658242404E-13</v>
      </c>
      <c r="Q382" s="44">
        <v>-1.1368683772161603E-13</v>
      </c>
      <c r="R382" s="44">
        <v>1.1368683772161603E-13</v>
      </c>
      <c r="S382" s="44">
        <v>-3.4106051316484809E-13</v>
      </c>
      <c r="T382" s="44">
        <v>1.2505552149377763E-12</v>
      </c>
      <c r="U382" s="44">
        <v>6.8212102632969618E-13</v>
      </c>
      <c r="V382" s="44">
        <v>-2.2737367544323206E-13</v>
      </c>
      <c r="W382" s="44">
        <v>6.8212102632969618E-13</v>
      </c>
      <c r="X382" s="44">
        <v>0</v>
      </c>
      <c r="Y382" s="44">
        <v>0</v>
      </c>
      <c r="Z382" s="8"/>
      <c r="AA382" s="8"/>
      <c r="AB382" s="8"/>
      <c r="AC382" s="8"/>
      <c r="AD382" s="8"/>
      <c r="AE382" s="8"/>
      <c r="AF382" s="8"/>
      <c r="AG382" s="8"/>
    </row>
    <row r="383" spans="1:33" s="2" customFormat="1" ht="12.75" x14ac:dyDescent="0.2">
      <c r="F383" s="1"/>
      <c r="K383" s="49"/>
      <c r="L383" s="49"/>
      <c r="AB383" s="8"/>
      <c r="AE383" s="8"/>
    </row>
    <row r="384" spans="1:33" s="11" customFormat="1" x14ac:dyDescent="0.2">
      <c r="A384" s="8"/>
      <c r="B384" s="8"/>
      <c r="C384" s="8"/>
      <c r="D384" s="8"/>
      <c r="F384" s="11" t="s">
        <v>315</v>
      </c>
      <c r="M384" s="125" t="s">
        <v>388</v>
      </c>
      <c r="N384" s="125" t="s">
        <v>364</v>
      </c>
      <c r="O384" s="125" t="s">
        <v>316</v>
      </c>
      <c r="P384" s="125" t="s">
        <v>317</v>
      </c>
      <c r="Q384" s="125" t="s">
        <v>318</v>
      </c>
      <c r="R384" s="125" t="s">
        <v>319</v>
      </c>
      <c r="S384" s="125" t="s">
        <v>365</v>
      </c>
      <c r="T384" s="125" t="s">
        <v>320</v>
      </c>
      <c r="U384" s="125" t="s">
        <v>366</v>
      </c>
      <c r="V384" s="125" t="s">
        <v>367</v>
      </c>
      <c r="W384" s="125" t="s">
        <v>368</v>
      </c>
      <c r="X384" s="125" t="s">
        <v>369</v>
      </c>
      <c r="AB384" s="8"/>
      <c r="AE384" s="8"/>
      <c r="AF384" s="8"/>
      <c r="AG384" s="8"/>
    </row>
    <row r="385" spans="1:33" s="11" customFormat="1" x14ac:dyDescent="0.2">
      <c r="A385" s="8"/>
      <c r="B385" s="8"/>
      <c r="C385" s="8"/>
      <c r="D385" s="8"/>
      <c r="M385" s="126" t="s">
        <v>5</v>
      </c>
      <c r="N385" s="126" t="s">
        <v>6</v>
      </c>
      <c r="O385" s="126" t="s">
        <v>7</v>
      </c>
      <c r="P385" s="126" t="s">
        <v>8</v>
      </c>
      <c r="Q385" s="126" t="s">
        <v>9</v>
      </c>
      <c r="R385" s="126" t="s">
        <v>10</v>
      </c>
      <c r="S385" s="126" t="s">
        <v>321</v>
      </c>
      <c r="T385" s="126" t="s">
        <v>11</v>
      </c>
      <c r="U385" s="126" t="s">
        <v>12</v>
      </c>
      <c r="V385" s="126" t="s">
        <v>13</v>
      </c>
      <c r="W385" s="126" t="s">
        <v>14</v>
      </c>
      <c r="X385" s="126" t="s">
        <v>15</v>
      </c>
      <c r="AB385" s="8"/>
      <c r="AE385" s="8"/>
      <c r="AF385" s="8"/>
      <c r="AG385" s="8"/>
    </row>
    <row r="386" spans="1:33" s="11" customFormat="1" x14ac:dyDescent="0.2">
      <c r="A386" s="8"/>
      <c r="B386" s="8"/>
      <c r="C386" s="8"/>
      <c r="D386" s="8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AB386" s="8"/>
      <c r="AE386" s="8"/>
      <c r="AF386" s="8"/>
      <c r="AG386" s="8"/>
    </row>
    <row r="387" spans="1:33" s="11" customFormat="1" x14ac:dyDescent="0.2">
      <c r="A387" s="42" t="s">
        <v>30</v>
      </c>
      <c r="B387" s="42" t="s">
        <v>17</v>
      </c>
      <c r="C387" s="8"/>
      <c r="D387" s="8"/>
      <c r="F387" s="52">
        <v>2021</v>
      </c>
      <c r="M387" s="55">
        <v>-19.509450000000001</v>
      </c>
      <c r="N387" s="55">
        <v>46.395820000000001</v>
      </c>
      <c r="O387" s="55">
        <v>62.694559999999797</v>
      </c>
      <c r="P387" s="55">
        <v>150.03735</v>
      </c>
      <c r="Q387" s="55">
        <v>286.60404999999997</v>
      </c>
      <c r="R387" s="55">
        <v>365.88252999999997</v>
      </c>
      <c r="S387" s="55">
        <v>488.00896999999998</v>
      </c>
      <c r="T387" s="55">
        <v>636.22554000000002</v>
      </c>
      <c r="U387" s="55">
        <v>693.30043000000001</v>
      </c>
      <c r="V387" s="55">
        <v>792.92700000000104</v>
      </c>
      <c r="W387" s="55">
        <v>870.02900000000102</v>
      </c>
      <c r="X387" s="55">
        <v>1004.711</v>
      </c>
      <c r="AB387" s="8"/>
      <c r="AE387" s="8"/>
      <c r="AF387" s="8"/>
      <c r="AG387" s="8"/>
    </row>
    <row r="388" spans="1:33" s="11" customFormat="1" x14ac:dyDescent="0.2">
      <c r="A388" s="42" t="s">
        <v>30</v>
      </c>
      <c r="B388" s="42" t="s">
        <v>17</v>
      </c>
      <c r="C388" s="8"/>
      <c r="D388" s="8"/>
      <c r="F388" s="52">
        <v>2022</v>
      </c>
      <c r="M388" s="55">
        <v>96.545000000000002</v>
      </c>
      <c r="N388" s="55">
        <v>252.297</v>
      </c>
      <c r="O388" s="55">
        <v>319</v>
      </c>
      <c r="P388" s="55">
        <v>397.39499999999998</v>
      </c>
      <c r="Q388" s="55">
        <v>538.65</v>
      </c>
      <c r="R388" s="55">
        <v>708.58</v>
      </c>
      <c r="S388" s="55">
        <v>781.21400000000006</v>
      </c>
      <c r="T388" s="55">
        <v>973.71699999999998</v>
      </c>
      <c r="U388" s="55">
        <v>1102.52089</v>
      </c>
      <c r="V388" s="55">
        <v>1193.81</v>
      </c>
      <c r="W388" s="55">
        <v>1387.444</v>
      </c>
      <c r="X388" s="55">
        <v>1662.174</v>
      </c>
      <c r="AB388" s="8"/>
      <c r="AE388" s="8"/>
      <c r="AF388" s="8"/>
      <c r="AG388" s="8"/>
    </row>
    <row r="389" spans="1:33" s="11" customFormat="1" x14ac:dyDescent="0.2">
      <c r="A389" s="42" t="s">
        <v>30</v>
      </c>
      <c r="B389" s="42" t="s">
        <v>17</v>
      </c>
      <c r="C389" s="8"/>
      <c r="D389" s="8"/>
      <c r="F389" s="124" t="s">
        <v>489</v>
      </c>
      <c r="L389" s="54">
        <v>1337.0831100000005</v>
      </c>
      <c r="M389" s="55">
        <v>111.42359250000004</v>
      </c>
      <c r="N389" s="55">
        <v>222.84718500000008</v>
      </c>
      <c r="O389" s="55">
        <v>334.27077750000012</v>
      </c>
      <c r="P389" s="55">
        <v>445.69437000000016</v>
      </c>
      <c r="Q389" s="55">
        <v>557.1179625000002</v>
      </c>
      <c r="R389" s="55">
        <v>668.54155500000024</v>
      </c>
      <c r="S389" s="55">
        <v>779.9651475000004</v>
      </c>
      <c r="T389" s="55">
        <v>891.38874000000033</v>
      </c>
      <c r="U389" s="55">
        <v>1002.8123325000003</v>
      </c>
      <c r="V389" s="55">
        <v>1114.2359250000004</v>
      </c>
      <c r="W389" s="55">
        <v>1225.6595175000004</v>
      </c>
      <c r="X389" s="55">
        <v>1337.0831100000005</v>
      </c>
      <c r="AB389" s="8"/>
      <c r="AE389" s="8"/>
      <c r="AF389" s="8"/>
      <c r="AG389" s="8"/>
    </row>
    <row r="390" spans="1:33" s="11" customFormat="1" x14ac:dyDescent="0.2">
      <c r="A390" s="42" t="s">
        <v>30</v>
      </c>
      <c r="B390" s="42" t="s">
        <v>17</v>
      </c>
      <c r="C390" s="8"/>
      <c r="D390" s="8"/>
      <c r="F390" s="52" t="s">
        <v>450</v>
      </c>
      <c r="M390" s="55">
        <v>68.574999999999903</v>
      </c>
      <c r="N390" s="55">
        <v>162.63499999999999</v>
      </c>
      <c r="O390" s="55">
        <v>251.86799999999999</v>
      </c>
      <c r="P390" s="55">
        <v>430.358</v>
      </c>
      <c r="Q390" s="55">
        <v>590.53099999999995</v>
      </c>
      <c r="R390" s="55">
        <v>724.67700000000002</v>
      </c>
      <c r="S390" s="55">
        <v>789.86500000000001</v>
      </c>
      <c r="T390" s="55">
        <v>959.17800000000102</v>
      </c>
      <c r="U390" s="55">
        <v>1085.8510000000001</v>
      </c>
      <c r="V390" s="55">
        <v>1205.9459999999999</v>
      </c>
      <c r="W390" s="55">
        <v>1371.7329999999999</v>
      </c>
      <c r="X390" s="55">
        <v>1521.2329999999999</v>
      </c>
      <c r="AB390" s="8"/>
      <c r="AE390" s="8"/>
      <c r="AF390" s="8"/>
      <c r="AG390" s="8"/>
    </row>
    <row r="391" spans="1:33" s="11" customFormat="1" x14ac:dyDescent="0.2">
      <c r="A391" s="8"/>
      <c r="B391" s="8"/>
      <c r="C391" s="8"/>
      <c r="D391" s="8"/>
      <c r="F391" s="11" t="s">
        <v>490</v>
      </c>
      <c r="L391" s="54">
        <v>1337.0831100000005</v>
      </c>
      <c r="M391" s="55" t="s">
        <v>481</v>
      </c>
      <c r="N391" s="55" t="s">
        <v>481</v>
      </c>
      <c r="O391" s="55" t="s">
        <v>481</v>
      </c>
      <c r="P391" s="55" t="s">
        <v>481</v>
      </c>
      <c r="Q391" s="55" t="s">
        <v>481</v>
      </c>
      <c r="R391" s="55" t="s">
        <v>481</v>
      </c>
      <c r="S391" s="55" t="s">
        <v>481</v>
      </c>
      <c r="T391" s="55" t="s">
        <v>481</v>
      </c>
      <c r="U391" s="55" t="s">
        <v>481</v>
      </c>
      <c r="V391" s="55" t="s">
        <v>481</v>
      </c>
      <c r="W391" s="55" t="s">
        <v>481</v>
      </c>
      <c r="X391" s="55">
        <v>1521.2329999999999</v>
      </c>
      <c r="AB391" s="8"/>
      <c r="AE391" s="8"/>
      <c r="AF391" s="8"/>
      <c r="AG391" s="8"/>
    </row>
    <row r="392" spans="1:33" s="2" customFormat="1" ht="12.75" x14ac:dyDescent="0.2">
      <c r="F392" s="1"/>
      <c r="K392" s="49"/>
      <c r="L392" s="49"/>
      <c r="AB392" s="8"/>
      <c r="AE392" s="8"/>
    </row>
    <row r="393" spans="1:33" s="2" customFormat="1" ht="12.75" x14ac:dyDescent="0.2">
      <c r="F393" s="1"/>
      <c r="K393" s="49"/>
      <c r="L393" s="49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AB393" s="8"/>
      <c r="AE393" s="8"/>
    </row>
    <row r="394" spans="1:33" s="2" customFormat="1" ht="12.75" x14ac:dyDescent="0.2">
      <c r="F394" s="1"/>
      <c r="K394" s="49"/>
      <c r="L394" s="49"/>
      <c r="AB394" s="8"/>
      <c r="AE394" s="8"/>
    </row>
    <row r="395" spans="1:33" s="2" customFormat="1" ht="12.75" x14ac:dyDescent="0.2">
      <c r="F395" s="1"/>
      <c r="K395" s="49"/>
      <c r="L395" s="49"/>
      <c r="AB395" s="8"/>
      <c r="AE395" s="8"/>
    </row>
    <row r="396" spans="1:33" s="2" customFormat="1" ht="12.75" x14ac:dyDescent="0.2">
      <c r="F396" s="1"/>
      <c r="K396" s="49"/>
      <c r="L396" s="49"/>
      <c r="R396" s="93"/>
      <c r="S396" s="93"/>
      <c r="T396" s="93"/>
      <c r="AB396" s="8"/>
      <c r="AE396" s="8"/>
    </row>
    <row r="397" spans="1:33" s="2" customFormat="1" ht="12.75" x14ac:dyDescent="0.2">
      <c r="F397" s="1"/>
      <c r="K397" s="49"/>
      <c r="L397" s="49"/>
      <c r="AB397" s="8"/>
      <c r="AE397" s="8"/>
    </row>
    <row r="398" spans="1:33" s="2" customFormat="1" ht="12.75" x14ac:dyDescent="0.2">
      <c r="F398" s="1"/>
      <c r="K398" s="49"/>
      <c r="L398" s="49"/>
      <c r="AB398" s="8"/>
      <c r="AE398" s="8"/>
    </row>
    <row r="399" spans="1:33" s="2" customFormat="1" ht="12.75" x14ac:dyDescent="0.2">
      <c r="F399" s="1"/>
      <c r="K399" s="49"/>
      <c r="L399" s="49"/>
      <c r="AB399" s="8"/>
      <c r="AE399" s="8"/>
    </row>
    <row r="400" spans="1:33" s="2" customFormat="1" ht="12.75" x14ac:dyDescent="0.2">
      <c r="F400" s="1"/>
      <c r="K400" s="49"/>
      <c r="L400" s="49"/>
      <c r="AB400" s="8"/>
      <c r="AE400" s="8"/>
    </row>
    <row r="401" spans="6:31" s="2" customFormat="1" ht="12.75" x14ac:dyDescent="0.2">
      <c r="F401" s="1"/>
      <c r="K401" s="49"/>
      <c r="L401" s="49"/>
      <c r="AB401" s="8"/>
      <c r="AE401" s="8"/>
    </row>
    <row r="402" spans="6:31" s="2" customFormat="1" ht="12.75" x14ac:dyDescent="0.2">
      <c r="F402" s="1"/>
      <c r="K402" s="49"/>
      <c r="L402" s="49"/>
      <c r="AB402" s="8"/>
      <c r="AE402" s="8"/>
    </row>
    <row r="403" spans="6:31" s="2" customFormat="1" x14ac:dyDescent="0.2">
      <c r="F403" s="1"/>
      <c r="K403" s="49"/>
      <c r="L403" s="49"/>
      <c r="AB403" s="8"/>
      <c r="AE403" s="3"/>
    </row>
    <row r="404" spans="6:31" s="2" customFormat="1" x14ac:dyDescent="0.2">
      <c r="F404" s="1"/>
      <c r="K404" s="49"/>
      <c r="L404" s="49"/>
      <c r="AB404" s="3"/>
      <c r="AE404" s="3"/>
    </row>
    <row r="405" spans="6:31" s="2" customFormat="1" x14ac:dyDescent="0.2">
      <c r="F405" s="1"/>
      <c r="K405" s="49"/>
      <c r="L405" s="49"/>
      <c r="AB405" s="3"/>
      <c r="AE405" s="3"/>
    </row>
    <row r="406" spans="6:31" s="2" customFormat="1" x14ac:dyDescent="0.2">
      <c r="F406" s="1"/>
      <c r="K406" s="49"/>
      <c r="L406" s="49"/>
      <c r="AB406" s="3"/>
      <c r="AE406" s="3"/>
    </row>
    <row r="407" spans="6:31" s="2" customFormat="1" x14ac:dyDescent="0.2">
      <c r="F407" s="1"/>
      <c r="K407" s="49"/>
      <c r="L407" s="49"/>
      <c r="AB407" s="3"/>
      <c r="AE407" s="3"/>
    </row>
    <row r="408" spans="6:31" s="2" customFormat="1" x14ac:dyDescent="0.2">
      <c r="F408" s="1"/>
      <c r="K408" s="49"/>
      <c r="L408" s="49"/>
      <c r="AB408" s="3"/>
      <c r="AE408" s="3"/>
    </row>
    <row r="409" spans="6:31" s="2" customFormat="1" x14ac:dyDescent="0.2">
      <c r="F409" s="1"/>
      <c r="K409" s="49"/>
      <c r="L409" s="49"/>
      <c r="AB409" s="3"/>
      <c r="AE409" s="3"/>
    </row>
    <row r="410" spans="6:31" s="2" customFormat="1" x14ac:dyDescent="0.2">
      <c r="F410" s="1"/>
      <c r="K410" s="49"/>
      <c r="L410" s="49"/>
      <c r="AB410" s="3"/>
      <c r="AE410" s="3"/>
    </row>
    <row r="411" spans="6:31" s="2" customFormat="1" x14ac:dyDescent="0.2">
      <c r="F411" s="1"/>
      <c r="K411" s="49"/>
      <c r="L411" s="49"/>
      <c r="AB411" s="3"/>
      <c r="AE411" s="3"/>
    </row>
    <row r="412" spans="6:31" s="2" customFormat="1" x14ac:dyDescent="0.2">
      <c r="F412" s="1"/>
      <c r="K412" s="49"/>
      <c r="L412" s="49"/>
      <c r="AB412" s="3"/>
      <c r="AE412" s="3"/>
    </row>
    <row r="413" spans="6:31" s="2" customFormat="1" x14ac:dyDescent="0.2">
      <c r="F413" s="1"/>
      <c r="K413" s="49"/>
      <c r="L413" s="49"/>
      <c r="AB413" s="3"/>
      <c r="AE413" s="3"/>
    </row>
    <row r="414" spans="6:31" s="2" customFormat="1" x14ac:dyDescent="0.2">
      <c r="F414" s="1"/>
      <c r="K414" s="49"/>
      <c r="L414" s="49"/>
      <c r="AB414" s="3"/>
      <c r="AE414" s="3"/>
    </row>
    <row r="415" spans="6:31" s="2" customFormat="1" x14ac:dyDescent="0.2">
      <c r="F415" s="1"/>
      <c r="K415" s="49"/>
      <c r="L415" s="49"/>
      <c r="AB415" s="3"/>
      <c r="AE415" s="3"/>
    </row>
    <row r="416" spans="6:31" s="2" customFormat="1" x14ac:dyDescent="0.2">
      <c r="F416" s="1"/>
      <c r="K416" s="49"/>
      <c r="L416" s="49"/>
      <c r="AB416" s="3"/>
      <c r="AE416" s="3"/>
    </row>
    <row r="417" spans="6:31" s="2" customFormat="1" x14ac:dyDescent="0.2">
      <c r="F417" s="1"/>
      <c r="K417" s="49"/>
      <c r="L417" s="49"/>
      <c r="AB417" s="3"/>
      <c r="AE417" s="3"/>
    </row>
    <row r="418" spans="6:31" s="2" customFormat="1" x14ac:dyDescent="0.2">
      <c r="F418" s="1"/>
      <c r="K418" s="49"/>
      <c r="L418" s="49"/>
      <c r="AB418" s="3"/>
      <c r="AE418" s="3"/>
    </row>
    <row r="419" spans="6:31" s="2" customFormat="1" x14ac:dyDescent="0.2">
      <c r="F419" s="1"/>
      <c r="K419" s="49"/>
      <c r="L419" s="49"/>
      <c r="AB419" s="3"/>
      <c r="AE419" s="3"/>
    </row>
    <row r="420" spans="6:31" s="2" customFormat="1" x14ac:dyDescent="0.2">
      <c r="F420" s="1"/>
      <c r="K420" s="49"/>
      <c r="L420" s="49"/>
      <c r="AB420" s="3"/>
      <c r="AE420" s="3"/>
    </row>
    <row r="421" spans="6:31" s="2" customFormat="1" x14ac:dyDescent="0.2">
      <c r="F421" s="1"/>
      <c r="K421" s="49"/>
      <c r="L421" s="49"/>
      <c r="AB421" s="3"/>
      <c r="AE421" s="3"/>
    </row>
    <row r="422" spans="6:31" s="2" customFormat="1" x14ac:dyDescent="0.2">
      <c r="F422" s="1"/>
      <c r="K422" s="49"/>
      <c r="L422" s="49"/>
      <c r="AB422" s="3"/>
      <c r="AE422" s="3"/>
    </row>
    <row r="423" spans="6:31" s="2" customFormat="1" x14ac:dyDescent="0.2">
      <c r="F423" s="1"/>
      <c r="K423" s="49"/>
      <c r="L423" s="49"/>
      <c r="AB423" s="3"/>
      <c r="AE423" s="3"/>
    </row>
    <row r="424" spans="6:31" s="2" customFormat="1" x14ac:dyDescent="0.2">
      <c r="F424" s="1"/>
      <c r="K424" s="49"/>
      <c r="L424" s="49"/>
      <c r="AB424" s="3"/>
      <c r="AE424" s="3"/>
    </row>
    <row r="425" spans="6:31" s="2" customFormat="1" x14ac:dyDescent="0.2">
      <c r="F425" s="1"/>
      <c r="K425" s="49"/>
      <c r="L425" s="49"/>
      <c r="AB425" s="3"/>
      <c r="AE425" s="3"/>
    </row>
    <row r="426" spans="6:31" s="2" customFormat="1" x14ac:dyDescent="0.2">
      <c r="F426" s="1"/>
      <c r="K426" s="49"/>
      <c r="L426" s="49"/>
      <c r="AB426" s="3"/>
      <c r="AE426" s="3"/>
    </row>
    <row r="427" spans="6:31" s="2" customFormat="1" x14ac:dyDescent="0.2">
      <c r="F427" s="1"/>
      <c r="K427" s="49"/>
      <c r="L427" s="49"/>
      <c r="AB427" s="3"/>
      <c r="AE427" s="3"/>
    </row>
    <row r="428" spans="6:31" s="2" customFormat="1" x14ac:dyDescent="0.2">
      <c r="F428" s="1"/>
      <c r="K428" s="49"/>
      <c r="L428" s="49"/>
      <c r="AB428" s="3"/>
      <c r="AE428" s="3"/>
    </row>
    <row r="429" spans="6:31" s="2" customFormat="1" x14ac:dyDescent="0.2">
      <c r="F429" s="1"/>
      <c r="K429" s="49"/>
      <c r="L429" s="49"/>
      <c r="AB429" s="3"/>
      <c r="AE429" s="3"/>
    </row>
    <row r="430" spans="6:31" s="2" customFormat="1" x14ac:dyDescent="0.2">
      <c r="F430" s="1"/>
      <c r="K430" s="49"/>
      <c r="L430" s="49"/>
      <c r="AB430" s="3"/>
      <c r="AE430" s="3"/>
    </row>
    <row r="431" spans="6:31" s="2" customFormat="1" x14ac:dyDescent="0.2">
      <c r="F431" s="1"/>
      <c r="K431" s="49"/>
      <c r="L431" s="49"/>
      <c r="AB431" s="3"/>
      <c r="AE431" s="3"/>
    </row>
    <row r="432" spans="6:31" s="2" customFormat="1" x14ac:dyDescent="0.2">
      <c r="F432" s="1"/>
      <c r="K432" s="49"/>
      <c r="L432" s="49"/>
      <c r="AB432" s="3"/>
      <c r="AE432" s="3"/>
    </row>
    <row r="433" spans="6:31" s="2" customFormat="1" x14ac:dyDescent="0.2">
      <c r="F433" s="1"/>
      <c r="K433" s="49"/>
      <c r="L433" s="49"/>
      <c r="AB433" s="3"/>
      <c r="AE433" s="3"/>
    </row>
    <row r="434" spans="6:31" s="2" customFormat="1" x14ac:dyDescent="0.2">
      <c r="F434" s="1"/>
      <c r="K434" s="49"/>
      <c r="L434" s="49"/>
      <c r="AB434" s="3"/>
      <c r="AE434" s="3"/>
    </row>
    <row r="435" spans="6:31" s="2" customFormat="1" x14ac:dyDescent="0.2">
      <c r="F435" s="1"/>
      <c r="K435" s="49"/>
      <c r="L435" s="49"/>
      <c r="AB435" s="3"/>
      <c r="AE435" s="3"/>
    </row>
  </sheetData>
  <mergeCells count="5">
    <mergeCell ref="F9:F10"/>
    <mergeCell ref="AA9:AA10"/>
    <mergeCell ref="AB9:AB10"/>
    <mergeCell ref="AD9:AD10"/>
    <mergeCell ref="AE9:AE10"/>
  </mergeCells>
  <conditionalFormatting sqref="AC299:AC347 AC381 AC384:AC391 AE1:AE299 AE301 AE303:AE1048576">
    <cfRule type="expression" dxfId="113" priority="52" stopIfTrue="1">
      <formula>($D1&gt;0)</formula>
    </cfRule>
    <cfRule type="expression" dxfId="112" priority="53" stopIfTrue="1">
      <formula>AND($D1&lt;0,$D1&gt;=$AE$2)</formula>
    </cfRule>
    <cfRule type="expression" dxfId="111" priority="54" stopIfTrue="1">
      <formula>($D1&lt;$AE$2)</formula>
    </cfRule>
  </conditionalFormatting>
  <conditionalFormatting sqref="AB1:AB1048576">
    <cfRule type="expression" dxfId="110" priority="49" stopIfTrue="1">
      <formula>($C1&gt;0)</formula>
    </cfRule>
    <cfRule type="expression" dxfId="109" priority="50" stopIfTrue="1">
      <formula>AND($C1&lt;0,$C1&gt;=$AB$2)</formula>
    </cfRule>
    <cfRule type="expression" dxfId="108" priority="51" stopIfTrue="1">
      <formula>($C1&lt;$AB$2)</formula>
    </cfRule>
  </conditionalFormatting>
  <conditionalFormatting sqref="AB9:AB10">
    <cfRule type="expression" dxfId="107" priority="46" stopIfTrue="1">
      <formula>($C9&gt;0)</formula>
    </cfRule>
    <cfRule type="expression" dxfId="106" priority="47" stopIfTrue="1">
      <formula>AND($C9&lt;0,$C9&gt;=$AB$2)</formula>
    </cfRule>
    <cfRule type="expression" dxfId="105" priority="48" stopIfTrue="1">
      <formula>($C9&lt;$AB$2)</formula>
    </cfRule>
  </conditionalFormatting>
  <conditionalFormatting sqref="AE9:AE10">
    <cfRule type="expression" dxfId="104" priority="43" stopIfTrue="1">
      <formula>($D9&gt;0)</formula>
    </cfRule>
    <cfRule type="expression" dxfId="103" priority="44" stopIfTrue="1">
      <formula>AND($D9&lt;0,$D9&gt;=$AE$2)</formula>
    </cfRule>
    <cfRule type="expression" dxfId="102" priority="45" stopIfTrue="1">
      <formula>($D9&lt;$AE$2)</formula>
    </cfRule>
  </conditionalFormatting>
  <conditionalFormatting sqref="AD366">
    <cfRule type="expression" dxfId="101" priority="40" stopIfTrue="1">
      <formula>($D366&gt;0)</formula>
    </cfRule>
    <cfRule type="expression" dxfId="100" priority="41" stopIfTrue="1">
      <formula>AND($D366&lt;0,$D366&gt;=$AE$2)</formula>
    </cfRule>
    <cfRule type="expression" dxfId="99" priority="42" stopIfTrue="1">
      <formula>($D366&lt;$AE$2)</formula>
    </cfRule>
  </conditionalFormatting>
  <conditionalFormatting sqref="AD369">
    <cfRule type="expression" dxfId="98" priority="37" stopIfTrue="1">
      <formula>($D369&gt;0)</formula>
    </cfRule>
    <cfRule type="expression" dxfId="97" priority="38" stopIfTrue="1">
      <formula>AND($D369&lt;0,$D369&gt;=$AE$2)</formula>
    </cfRule>
    <cfRule type="expression" dxfId="96" priority="39" stopIfTrue="1">
      <formula>($D369&lt;$AE$2)</formula>
    </cfRule>
  </conditionalFormatting>
  <conditionalFormatting sqref="AE140">
    <cfRule type="expression" dxfId="95" priority="34" stopIfTrue="1">
      <formula>($D140&gt;0)</formula>
    </cfRule>
    <cfRule type="expression" dxfId="94" priority="35" stopIfTrue="1">
      <formula>AND($D140&lt;0,$D140&gt;=$AE$2)</formula>
    </cfRule>
    <cfRule type="expression" dxfId="93" priority="36" stopIfTrue="1">
      <formula>($D140&lt;$AE$2)</formula>
    </cfRule>
  </conditionalFormatting>
  <conditionalFormatting sqref="AB140">
    <cfRule type="expression" dxfId="92" priority="31" stopIfTrue="1">
      <formula>($C140&gt;0)</formula>
    </cfRule>
    <cfRule type="expression" dxfId="91" priority="32" stopIfTrue="1">
      <formula>AND($C140&lt;0,$C140&gt;=$AB$2)</formula>
    </cfRule>
    <cfRule type="expression" dxfId="90" priority="33" stopIfTrue="1">
      <formula>($C140&lt;$AB$2)</formula>
    </cfRule>
  </conditionalFormatting>
  <conditionalFormatting sqref="AE140">
    <cfRule type="expression" dxfId="89" priority="28" stopIfTrue="1">
      <formula>($D140&gt;0)</formula>
    </cfRule>
    <cfRule type="expression" dxfId="88" priority="29" stopIfTrue="1">
      <formula>AND($D140&lt;0,$D140&gt;=$AE$2)</formula>
    </cfRule>
    <cfRule type="expression" dxfId="87" priority="30" stopIfTrue="1">
      <formula>($D140&lt;$AE$2)</formula>
    </cfRule>
  </conditionalFormatting>
  <conditionalFormatting sqref="AB140">
    <cfRule type="expression" dxfId="86" priority="25" stopIfTrue="1">
      <formula>($C140&gt;0)</formula>
    </cfRule>
    <cfRule type="expression" dxfId="85" priority="26" stopIfTrue="1">
      <formula>AND($C140&lt;0,$C140&gt;=$AB$2)</formula>
    </cfRule>
    <cfRule type="expression" dxfId="84" priority="27" stopIfTrue="1">
      <formula>($C140&lt;$AB$2)</formula>
    </cfRule>
  </conditionalFormatting>
  <conditionalFormatting sqref="AE140">
    <cfRule type="expression" dxfId="83" priority="22" stopIfTrue="1">
      <formula>($D140&gt;0)</formula>
    </cfRule>
    <cfRule type="expression" dxfId="82" priority="23" stopIfTrue="1">
      <formula>AND($D140&lt;0,$D140&gt;=$AE$2)</formula>
    </cfRule>
    <cfRule type="expression" dxfId="81" priority="24" stopIfTrue="1">
      <formula>($D140&lt;$AE$2)</formula>
    </cfRule>
  </conditionalFormatting>
  <conditionalFormatting sqref="AB140">
    <cfRule type="expression" dxfId="80" priority="19" stopIfTrue="1">
      <formula>($C140&gt;0)</formula>
    </cfRule>
    <cfRule type="expression" dxfId="79" priority="20" stopIfTrue="1">
      <formula>AND($C140&lt;0,$C140&gt;=$AB$2)</formula>
    </cfRule>
    <cfRule type="expression" dxfId="78" priority="21" stopIfTrue="1">
      <formula>($C140&lt;$AB$2)</formula>
    </cfRule>
  </conditionalFormatting>
  <conditionalFormatting sqref="AB230">
    <cfRule type="expression" dxfId="77" priority="16" stopIfTrue="1">
      <formula>($C230&gt;0)</formula>
    </cfRule>
    <cfRule type="expression" dxfId="76" priority="17" stopIfTrue="1">
      <formula>AND($C230&lt;0,$C230&gt;=$AB$2)</formula>
    </cfRule>
    <cfRule type="expression" dxfId="75" priority="18" stopIfTrue="1">
      <formula>($C230&lt;$AB$2)</formula>
    </cfRule>
  </conditionalFormatting>
  <conditionalFormatting sqref="AE230">
    <cfRule type="expression" dxfId="74" priority="13" stopIfTrue="1">
      <formula>($D230&gt;0)</formula>
    </cfRule>
    <cfRule type="expression" dxfId="73" priority="14" stopIfTrue="1">
      <formula>AND($D230&lt;0,$D230&gt;=$AE$2)</formula>
    </cfRule>
    <cfRule type="expression" dxfId="72" priority="15" stopIfTrue="1">
      <formula>($D230&lt;$AE$2)</formula>
    </cfRule>
  </conditionalFormatting>
  <conditionalFormatting sqref="AB230">
    <cfRule type="expression" dxfId="71" priority="10" stopIfTrue="1">
      <formula>($C230&gt;0)</formula>
    </cfRule>
    <cfRule type="expression" dxfId="70" priority="11" stopIfTrue="1">
      <formula>AND($C230&lt;0,$C230&gt;=$AB$2)</formula>
    </cfRule>
    <cfRule type="expression" dxfId="69" priority="12" stopIfTrue="1">
      <formula>($C230&lt;$AB$2)</formula>
    </cfRule>
  </conditionalFormatting>
  <conditionalFormatting sqref="AE230">
    <cfRule type="expression" dxfId="68" priority="7" stopIfTrue="1">
      <formula>($D230&gt;0)</formula>
    </cfRule>
    <cfRule type="expression" dxfId="67" priority="8" stopIfTrue="1">
      <formula>AND($D230&lt;0,$D230&gt;=$AE$2)</formula>
    </cfRule>
    <cfRule type="expression" dxfId="66" priority="9" stopIfTrue="1">
      <formula>($D230&lt;$AE$2)</formula>
    </cfRule>
  </conditionalFormatting>
  <conditionalFormatting sqref="AE300">
    <cfRule type="expression" dxfId="65" priority="4" stopIfTrue="1">
      <formula>($D300&gt;0)</formula>
    </cfRule>
    <cfRule type="expression" dxfId="64" priority="5" stopIfTrue="1">
      <formula>AND($D300&lt;0,$D300&gt;=$AE$2)</formula>
    </cfRule>
    <cfRule type="expression" dxfId="63" priority="6" stopIfTrue="1">
      <formula>($D300&lt;$AE$2)</formula>
    </cfRule>
  </conditionalFormatting>
  <conditionalFormatting sqref="AE302">
    <cfRule type="expression" dxfId="62" priority="1" stopIfTrue="1">
      <formula>($D302&gt;0)</formula>
    </cfRule>
    <cfRule type="expression" dxfId="61" priority="2" stopIfTrue="1">
      <formula>AND($D302&lt;0,$D302&gt;=$AE$2)</formula>
    </cfRule>
    <cfRule type="expression" dxfId="60" priority="3" stopIfTrue="1">
      <formula>($D302&lt;$AE$2)</formula>
    </cfRule>
  </conditionalFormatting>
  <printOptions horizontalCentered="1"/>
  <pageMargins left="0" right="0" top="0" bottom="0" header="0.11811023622047245" footer="7.874015748031496E-2"/>
  <pageSetup paperSize="9" scale="44" fitToHeight="2" orientation="portrait" r:id="rId1"/>
  <headerFooter alignWithMargins="0">
    <oddHeader>&amp;CFICHE SUIVEUSE&amp;R&amp;D - &amp;T</oddHeader>
  </headerFooter>
  <rowBreaks count="1" manualBreakCount="1">
    <brk id="201" min="5" max="25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AM435"/>
  <sheetViews>
    <sheetView showGridLines="0" topLeftCell="E7" zoomScale="70" zoomScaleNormal="70" zoomScaleSheetLayoutView="75" workbookViewId="0">
      <pane ySplit="9" topLeftCell="A16" activePane="bottomLeft" state="frozen"/>
      <selection activeCell="W25" sqref="W25"/>
      <selection pane="bottomLeft" activeCell="X16" sqref="X16"/>
    </sheetView>
  </sheetViews>
  <sheetFormatPr baseColWidth="10" defaultRowHeight="14.25" outlineLevelRow="2" outlineLevelCol="1" x14ac:dyDescent="0.2"/>
  <cols>
    <col min="1" max="1" width="24.85546875" style="8" hidden="1" customWidth="1" outlineLevel="1"/>
    <col min="2" max="2" width="30.42578125" style="8" hidden="1" customWidth="1" outlineLevel="1"/>
    <col min="3" max="4" width="12.5703125" style="8" hidden="1" customWidth="1" outlineLevel="1"/>
    <col min="5" max="5" width="2.7109375" style="8" customWidth="1" collapsed="1"/>
    <col min="6" max="6" width="35.28515625" style="7" customWidth="1"/>
    <col min="7" max="7" width="1.140625" style="8" customWidth="1"/>
    <col min="8" max="10" width="10.140625" style="8" customWidth="1"/>
    <col min="11" max="11" width="10.140625" style="9" customWidth="1" outlineLevel="1"/>
    <col min="12" max="12" width="10.5703125" style="9" customWidth="1"/>
    <col min="13" max="24" width="8.7109375" style="8" customWidth="1"/>
    <col min="25" max="25" width="10.140625" style="8" customWidth="1"/>
    <col min="26" max="26" width="1.140625" style="8" customWidth="1"/>
    <col min="27" max="27" width="10.140625" style="8" customWidth="1"/>
    <col min="28" max="28" width="8.7109375" style="11" customWidth="1"/>
    <col min="29" max="29" width="1.140625" style="8" customWidth="1"/>
    <col min="30" max="30" width="10.140625" style="8" customWidth="1" outlineLevel="1"/>
    <col min="31" max="31" width="8.7109375" style="11" customWidth="1" outlineLevel="1"/>
    <col min="32" max="16384" width="11.42578125" style="8"/>
  </cols>
  <sheetData>
    <row r="1" spans="1:31" ht="14.25" hidden="1" customHeight="1" outlineLevel="1" x14ac:dyDescent="0.2">
      <c r="A1" s="7" t="s">
        <v>3</v>
      </c>
      <c r="B1" s="7"/>
      <c r="I1" s="10" t="s">
        <v>15</v>
      </c>
      <c r="M1" s="10" t="s">
        <v>5</v>
      </c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321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15</v>
      </c>
      <c r="AB1" s="53"/>
      <c r="AE1" s="53"/>
    </row>
    <row r="2" spans="1:31" ht="12.75" hidden="1" customHeight="1" outlineLevel="1" x14ac:dyDescent="0.2">
      <c r="A2" s="7" t="s">
        <v>4</v>
      </c>
      <c r="B2" s="7"/>
      <c r="H2" s="12" t="s">
        <v>27</v>
      </c>
      <c r="I2" s="12" t="s">
        <v>28</v>
      </c>
      <c r="J2" s="12" t="s">
        <v>29</v>
      </c>
      <c r="K2" s="13" t="s">
        <v>32</v>
      </c>
      <c r="L2" s="13" t="s">
        <v>33</v>
      </c>
      <c r="M2" s="14" t="b">
        <v>1</v>
      </c>
      <c r="N2" s="14" t="b">
        <v>1</v>
      </c>
      <c r="O2" s="14" t="b">
        <v>1</v>
      </c>
      <c r="P2" s="14" t="b">
        <v>1</v>
      </c>
      <c r="Q2" s="14" t="b">
        <v>1</v>
      </c>
      <c r="R2" s="14" t="b">
        <v>1</v>
      </c>
      <c r="S2" s="14" t="b">
        <v>1</v>
      </c>
      <c r="T2" s="14" t="b">
        <v>1</v>
      </c>
      <c r="U2" s="14" t="b">
        <v>1</v>
      </c>
      <c r="V2" s="14" t="b">
        <v>1</v>
      </c>
      <c r="W2" s="14" t="b">
        <v>1</v>
      </c>
      <c r="X2" s="14" t="b">
        <v>1</v>
      </c>
      <c r="Y2" s="12" t="s">
        <v>33</v>
      </c>
      <c r="AA2" s="128"/>
      <c r="AB2" s="129">
        <v>-0.15</v>
      </c>
      <c r="AD2" s="128"/>
      <c r="AE2" s="129">
        <v>-0.15</v>
      </c>
    </row>
    <row r="3" spans="1:31" ht="14.25" hidden="1" customHeight="1" outlineLevel="1" x14ac:dyDescent="0.15">
      <c r="A3" s="7" t="s">
        <v>418</v>
      </c>
      <c r="B3" s="7"/>
      <c r="H3" s="127" t="s">
        <v>459</v>
      </c>
      <c r="I3" s="127" t="s">
        <v>459</v>
      </c>
      <c r="J3" s="127" t="s">
        <v>459</v>
      </c>
      <c r="K3" s="130" t="s">
        <v>460</v>
      </c>
      <c r="L3" s="130" t="s">
        <v>461</v>
      </c>
      <c r="M3" s="127" t="s">
        <v>459</v>
      </c>
      <c r="N3" s="127" t="s">
        <v>459</v>
      </c>
      <c r="O3" s="127" t="s">
        <v>459</v>
      </c>
      <c r="P3" s="127" t="s">
        <v>459</v>
      </c>
      <c r="Q3" s="127" t="s">
        <v>459</v>
      </c>
      <c r="R3" s="127" t="s">
        <v>459</v>
      </c>
      <c r="S3" s="127" t="s">
        <v>459</v>
      </c>
      <c r="T3" s="127" t="s">
        <v>459</v>
      </c>
      <c r="U3" s="127" t="s">
        <v>459</v>
      </c>
      <c r="V3" s="127" t="s">
        <v>459</v>
      </c>
      <c r="W3" s="127" t="s">
        <v>459</v>
      </c>
      <c r="X3" s="127" t="s">
        <v>459</v>
      </c>
      <c r="Y3" s="127" t="s">
        <v>459</v>
      </c>
      <c r="AB3" s="53"/>
      <c r="AE3" s="53"/>
    </row>
    <row r="4" spans="1:31" ht="14.25" hidden="1" customHeight="1" outlineLevel="1" x14ac:dyDescent="0.15">
      <c r="A4" s="15" t="s">
        <v>462</v>
      </c>
      <c r="B4" s="7"/>
      <c r="H4" s="127" t="s">
        <v>463</v>
      </c>
      <c r="I4" s="127" t="s">
        <v>463</v>
      </c>
      <c r="J4" s="127" t="s">
        <v>463</v>
      </c>
      <c r="K4" s="130" t="s">
        <v>464</v>
      </c>
      <c r="L4" s="130" t="s">
        <v>465</v>
      </c>
      <c r="M4" s="127" t="s">
        <v>463</v>
      </c>
      <c r="N4" s="127" t="s">
        <v>463</v>
      </c>
      <c r="O4" s="127" t="s">
        <v>463</v>
      </c>
      <c r="P4" s="127" t="s">
        <v>463</v>
      </c>
      <c r="Q4" s="127" t="s">
        <v>463</v>
      </c>
      <c r="R4" s="127" t="s">
        <v>463</v>
      </c>
      <c r="S4" s="127" t="s">
        <v>463</v>
      </c>
      <c r="T4" s="127" t="s">
        <v>463</v>
      </c>
      <c r="U4" s="127" t="s">
        <v>463</v>
      </c>
      <c r="V4" s="127" t="s">
        <v>463</v>
      </c>
      <c r="W4" s="127" t="s">
        <v>463</v>
      </c>
      <c r="X4" s="127" t="s">
        <v>463</v>
      </c>
      <c r="Y4" s="127" t="s">
        <v>463</v>
      </c>
      <c r="AA4" s="128"/>
      <c r="AB4" s="131"/>
      <c r="AD4" s="128"/>
      <c r="AE4" s="131"/>
    </row>
    <row r="5" spans="1:31" ht="14.25" hidden="1" customHeight="1" outlineLevel="1" x14ac:dyDescent="0.15">
      <c r="B5" s="7"/>
      <c r="H5" s="127" t="s">
        <v>466</v>
      </c>
      <c r="I5" s="127" t="s">
        <v>467</v>
      </c>
      <c r="J5" s="127" t="s">
        <v>467</v>
      </c>
      <c r="K5" s="130" t="s">
        <v>468</v>
      </c>
      <c r="L5" s="130" t="s">
        <v>469</v>
      </c>
      <c r="M5" s="127" t="s">
        <v>468</v>
      </c>
      <c r="N5" s="127" t="s">
        <v>470</v>
      </c>
      <c r="O5" s="127" t="s">
        <v>471</v>
      </c>
      <c r="P5" s="127" t="s">
        <v>472</v>
      </c>
      <c r="Q5" s="127" t="s">
        <v>473</v>
      </c>
      <c r="R5" s="127" t="s">
        <v>474</v>
      </c>
      <c r="S5" s="127" t="s">
        <v>475</v>
      </c>
      <c r="T5" s="127" t="s">
        <v>476</v>
      </c>
      <c r="U5" s="127" t="s">
        <v>477</v>
      </c>
      <c r="V5" s="127" t="s">
        <v>478</v>
      </c>
      <c r="W5" s="127" t="s">
        <v>479</v>
      </c>
      <c r="X5" s="127" t="s">
        <v>480</v>
      </c>
      <c r="Y5" s="127" t="s">
        <v>480</v>
      </c>
      <c r="AA5" s="128"/>
      <c r="AB5" s="131"/>
      <c r="AD5" s="128"/>
      <c r="AE5" s="131"/>
    </row>
    <row r="6" spans="1:31" ht="14.25" hidden="1" customHeight="1" outlineLevel="1" x14ac:dyDescent="0.2">
      <c r="G6" s="7"/>
      <c r="I6" s="9" t="s">
        <v>491</v>
      </c>
      <c r="J6" s="9" t="s">
        <v>491</v>
      </c>
      <c r="K6" s="9" t="s">
        <v>491</v>
      </c>
      <c r="L6" s="9" t="s">
        <v>491</v>
      </c>
      <c r="AB6" s="53"/>
      <c r="AE6" s="53"/>
    </row>
    <row r="7" spans="1:31" s="16" customFormat="1" ht="15.75" collapsed="1" x14ac:dyDescent="0.2">
      <c r="F7" s="6" t="s">
        <v>391</v>
      </c>
      <c r="K7" s="18"/>
      <c r="L7" s="18"/>
      <c r="M7" s="19"/>
      <c r="AB7" s="20"/>
      <c r="AE7" s="20"/>
    </row>
    <row r="8" spans="1:31" s="21" customFormat="1" ht="7.5" customHeight="1" x14ac:dyDescent="0.2">
      <c r="F8" s="138"/>
      <c r="G8" s="16"/>
      <c r="J8" s="24"/>
      <c r="K8" s="23"/>
      <c r="L8" s="23"/>
      <c r="Z8" s="16"/>
      <c r="AA8" s="24"/>
      <c r="AB8" s="22"/>
      <c r="AD8" s="24"/>
      <c r="AE8" s="22"/>
    </row>
    <row r="9" spans="1:31" ht="12.75" customHeight="1" x14ac:dyDescent="0.2">
      <c r="F9" s="300" t="s">
        <v>428</v>
      </c>
      <c r="G9" s="16"/>
      <c r="H9" s="135" t="s">
        <v>1</v>
      </c>
      <c r="I9" s="26" t="s">
        <v>1</v>
      </c>
      <c r="J9" s="26" t="s">
        <v>1</v>
      </c>
      <c r="K9" s="136" t="s">
        <v>380</v>
      </c>
      <c r="L9" s="136" t="s">
        <v>449</v>
      </c>
      <c r="M9" s="27" t="s">
        <v>1</v>
      </c>
      <c r="N9" s="27" t="s">
        <v>1</v>
      </c>
      <c r="O9" s="27" t="s">
        <v>1</v>
      </c>
      <c r="P9" s="27" t="s">
        <v>1</v>
      </c>
      <c r="Q9" s="27" t="s">
        <v>1</v>
      </c>
      <c r="R9" s="27" t="s">
        <v>1</v>
      </c>
      <c r="S9" s="27" t="s">
        <v>1</v>
      </c>
      <c r="T9" s="27" t="s">
        <v>1</v>
      </c>
      <c r="U9" s="27" t="s">
        <v>1</v>
      </c>
      <c r="V9" s="27" t="s">
        <v>1</v>
      </c>
      <c r="W9" s="27" t="s">
        <v>1</v>
      </c>
      <c r="X9" s="27" t="s">
        <v>1</v>
      </c>
      <c r="Y9" s="139" t="s">
        <v>1</v>
      </c>
      <c r="Z9" s="16"/>
      <c r="AA9" s="296" t="s">
        <v>482</v>
      </c>
      <c r="AB9" s="298" t="s">
        <v>483</v>
      </c>
      <c r="AC9" s="25"/>
      <c r="AD9" s="296" t="s">
        <v>484</v>
      </c>
      <c r="AE9" s="298" t="s">
        <v>485</v>
      </c>
    </row>
    <row r="10" spans="1:31" ht="12.75" customHeight="1" x14ac:dyDescent="0.2">
      <c r="F10" s="300"/>
      <c r="G10" s="16"/>
      <c r="H10" s="28" t="s">
        <v>486</v>
      </c>
      <c r="I10" s="28" t="s">
        <v>487</v>
      </c>
      <c r="J10" s="28" t="s">
        <v>487</v>
      </c>
      <c r="K10" s="137" t="s">
        <v>450</v>
      </c>
      <c r="L10" s="137" t="s">
        <v>450</v>
      </c>
      <c r="M10" s="29" t="s">
        <v>5</v>
      </c>
      <c r="N10" s="29" t="s">
        <v>6</v>
      </c>
      <c r="O10" s="29" t="s">
        <v>7</v>
      </c>
      <c r="P10" s="29" t="s">
        <v>8</v>
      </c>
      <c r="Q10" s="29" t="s">
        <v>9</v>
      </c>
      <c r="R10" s="29" t="s">
        <v>10</v>
      </c>
      <c r="S10" s="29" t="s">
        <v>321</v>
      </c>
      <c r="T10" s="29" t="s">
        <v>11</v>
      </c>
      <c r="U10" s="29" t="s">
        <v>12</v>
      </c>
      <c r="V10" s="29" t="s">
        <v>13</v>
      </c>
      <c r="W10" s="29" t="s">
        <v>14</v>
      </c>
      <c r="X10" s="29" t="s">
        <v>15</v>
      </c>
      <c r="Y10" s="140" t="s">
        <v>488</v>
      </c>
      <c r="Z10" s="16"/>
      <c r="AA10" s="297"/>
      <c r="AB10" s="299"/>
      <c r="AC10" s="25"/>
      <c r="AD10" s="297"/>
      <c r="AE10" s="299"/>
    </row>
    <row r="11" spans="1:31" ht="18" hidden="1" customHeight="1" outlineLevel="1" x14ac:dyDescent="0.2">
      <c r="A11" s="30" t="s">
        <v>2</v>
      </c>
      <c r="B11" s="30" t="s">
        <v>230</v>
      </c>
      <c r="C11" s="4">
        <v>0</v>
      </c>
      <c r="D11" s="4">
        <v>0</v>
      </c>
      <c r="F11" s="94" t="s">
        <v>280</v>
      </c>
      <c r="G11" s="16"/>
      <c r="H11" s="59">
        <v>0</v>
      </c>
      <c r="I11" s="59">
        <v>0</v>
      </c>
      <c r="J11" s="59">
        <v>0</v>
      </c>
      <c r="K11" s="86">
        <v>0</v>
      </c>
      <c r="L11" s="86">
        <v>0</v>
      </c>
      <c r="M11" s="59">
        <v>0</v>
      </c>
      <c r="N11" s="59">
        <v>0</v>
      </c>
      <c r="O11" s="59">
        <v>0</v>
      </c>
      <c r="P11" s="59">
        <v>0</v>
      </c>
      <c r="Q11" s="59">
        <v>0</v>
      </c>
      <c r="R11" s="59">
        <v>0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16"/>
      <c r="AA11" s="59">
        <v>0</v>
      </c>
      <c r="AB11" s="60">
        <v>0</v>
      </c>
      <c r="AC11" s="31"/>
      <c r="AD11" s="59">
        <v>0</v>
      </c>
      <c r="AE11" s="60">
        <v>0</v>
      </c>
    </row>
    <row r="12" spans="1:31" ht="18" hidden="1" customHeight="1" outlineLevel="1" x14ac:dyDescent="0.2">
      <c r="A12" s="30" t="s">
        <v>2</v>
      </c>
      <c r="B12" s="30" t="s">
        <v>233</v>
      </c>
      <c r="C12" s="4">
        <v>0</v>
      </c>
      <c r="D12" s="4">
        <v>0</v>
      </c>
      <c r="F12" s="94" t="s">
        <v>281</v>
      </c>
      <c r="G12" s="16"/>
      <c r="H12" s="59">
        <v>17.776</v>
      </c>
      <c r="I12" s="59">
        <v>0</v>
      </c>
      <c r="J12" s="59">
        <v>0</v>
      </c>
      <c r="K12" s="86">
        <v>0</v>
      </c>
      <c r="L12" s="86">
        <v>0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16"/>
      <c r="AA12" s="59">
        <v>0</v>
      </c>
      <c r="AB12" s="60">
        <v>0</v>
      </c>
      <c r="AC12" s="31"/>
      <c r="AD12" s="59">
        <v>0</v>
      </c>
      <c r="AE12" s="60">
        <v>0</v>
      </c>
    </row>
    <row r="13" spans="1:31" ht="18" hidden="1" customHeight="1" outlineLevel="1" x14ac:dyDescent="0.2">
      <c r="A13" s="30" t="s">
        <v>2</v>
      </c>
      <c r="B13" s="30" t="s">
        <v>229</v>
      </c>
      <c r="C13" s="4">
        <v>0</v>
      </c>
      <c r="D13" s="4">
        <v>0</v>
      </c>
      <c r="F13" s="94" t="s">
        <v>282</v>
      </c>
      <c r="G13" s="16"/>
      <c r="H13" s="59">
        <v>0</v>
      </c>
      <c r="I13" s="59">
        <v>0</v>
      </c>
      <c r="J13" s="59">
        <v>0</v>
      </c>
      <c r="K13" s="86">
        <v>0</v>
      </c>
      <c r="L13" s="86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16"/>
      <c r="AA13" s="59">
        <v>0</v>
      </c>
      <c r="AB13" s="60">
        <v>0</v>
      </c>
      <c r="AC13" s="31"/>
      <c r="AD13" s="59">
        <v>0</v>
      </c>
      <c r="AE13" s="60">
        <v>0</v>
      </c>
    </row>
    <row r="14" spans="1:31" ht="18" hidden="1" customHeight="1" outlineLevel="1" x14ac:dyDescent="0.2">
      <c r="A14" s="30" t="s">
        <v>2</v>
      </c>
      <c r="B14" s="30" t="s">
        <v>232</v>
      </c>
      <c r="C14" s="4">
        <v>0</v>
      </c>
      <c r="D14" s="4">
        <v>0</v>
      </c>
      <c r="F14" s="94" t="s">
        <v>283</v>
      </c>
      <c r="G14" s="16"/>
      <c r="H14" s="59">
        <v>0</v>
      </c>
      <c r="I14" s="59">
        <v>0</v>
      </c>
      <c r="J14" s="59">
        <v>0</v>
      </c>
      <c r="K14" s="86">
        <v>0</v>
      </c>
      <c r="L14" s="86">
        <v>0</v>
      </c>
      <c r="M14" s="59">
        <v>0</v>
      </c>
      <c r="N14" s="59">
        <v>0</v>
      </c>
      <c r="O14" s="59">
        <v>0</v>
      </c>
      <c r="P14" s="59">
        <v>0</v>
      </c>
      <c r="Q14" s="59">
        <v>0</v>
      </c>
      <c r="R14" s="59">
        <v>0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16"/>
      <c r="AA14" s="59">
        <v>0</v>
      </c>
      <c r="AB14" s="60">
        <v>0</v>
      </c>
      <c r="AC14" s="31"/>
      <c r="AD14" s="59">
        <v>0</v>
      </c>
      <c r="AE14" s="60">
        <v>0</v>
      </c>
    </row>
    <row r="15" spans="1:31" ht="18" hidden="1" customHeight="1" outlineLevel="1" x14ac:dyDescent="0.2">
      <c r="A15" s="30" t="s">
        <v>2</v>
      </c>
      <c r="B15" s="30" t="s">
        <v>231</v>
      </c>
      <c r="C15" s="4">
        <v>0</v>
      </c>
      <c r="D15" s="4">
        <v>0</v>
      </c>
      <c r="F15" s="94" t="s">
        <v>284</v>
      </c>
      <c r="G15" s="16"/>
      <c r="H15" s="59">
        <v>0</v>
      </c>
      <c r="I15" s="59">
        <v>0</v>
      </c>
      <c r="J15" s="59">
        <v>0</v>
      </c>
      <c r="K15" s="86">
        <v>0</v>
      </c>
      <c r="L15" s="86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16"/>
      <c r="AA15" s="59">
        <v>0</v>
      </c>
      <c r="AB15" s="60">
        <v>0</v>
      </c>
      <c r="AC15" s="31"/>
      <c r="AD15" s="59">
        <v>0</v>
      </c>
      <c r="AE15" s="60">
        <v>0</v>
      </c>
    </row>
    <row r="16" spans="1:31" ht="18" customHeight="1" collapsed="1" x14ac:dyDescent="0.2">
      <c r="A16" s="30" t="s">
        <v>2</v>
      </c>
      <c r="B16" s="30" t="s">
        <v>203</v>
      </c>
      <c r="C16" s="4">
        <v>0</v>
      </c>
      <c r="D16" s="4">
        <v>0</v>
      </c>
      <c r="E16" s="9"/>
      <c r="F16" s="51" t="s">
        <v>285</v>
      </c>
      <c r="G16" s="16"/>
      <c r="H16" s="61">
        <v>17.776</v>
      </c>
      <c r="I16" s="61">
        <v>0</v>
      </c>
      <c r="J16" s="61">
        <v>0</v>
      </c>
      <c r="K16" s="86">
        <v>0</v>
      </c>
      <c r="L16" s="86">
        <v>0</v>
      </c>
      <c r="M16" s="61">
        <v>0</v>
      </c>
      <c r="N16" s="61">
        <v>0</v>
      </c>
      <c r="O16" s="61">
        <v>0</v>
      </c>
      <c r="P16" s="61">
        <v>0</v>
      </c>
      <c r="Q16" s="61">
        <v>0</v>
      </c>
      <c r="R16" s="61">
        <v>0</v>
      </c>
      <c r="S16" s="61">
        <v>0</v>
      </c>
      <c r="T16" s="61">
        <v>0</v>
      </c>
      <c r="U16" s="61">
        <v>0</v>
      </c>
      <c r="V16" s="61">
        <v>0</v>
      </c>
      <c r="W16" s="61">
        <v>0</v>
      </c>
      <c r="X16" s="61">
        <v>0</v>
      </c>
      <c r="Y16" s="61">
        <v>0</v>
      </c>
      <c r="Z16" s="16"/>
      <c r="AA16" s="61">
        <v>0</v>
      </c>
      <c r="AB16" s="60">
        <v>0</v>
      </c>
      <c r="AD16" s="61">
        <v>0</v>
      </c>
      <c r="AE16" s="60">
        <v>0</v>
      </c>
    </row>
    <row r="17" spans="1:33" ht="18" customHeight="1" x14ac:dyDescent="0.2">
      <c r="A17" s="30" t="s">
        <v>2</v>
      </c>
      <c r="B17" s="30" t="s">
        <v>31</v>
      </c>
      <c r="C17" s="4">
        <v>0</v>
      </c>
      <c r="D17" s="4">
        <v>0</v>
      </c>
      <c r="F17" s="51" t="s">
        <v>286</v>
      </c>
      <c r="G17" s="16"/>
      <c r="H17" s="61">
        <v>0</v>
      </c>
      <c r="I17" s="61">
        <v>0</v>
      </c>
      <c r="J17" s="61">
        <v>0</v>
      </c>
      <c r="K17" s="86">
        <v>0</v>
      </c>
      <c r="L17" s="86">
        <v>0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61">
        <v>0</v>
      </c>
      <c r="W17" s="61">
        <v>0</v>
      </c>
      <c r="X17" s="61">
        <v>0</v>
      </c>
      <c r="Y17" s="61">
        <v>0</v>
      </c>
      <c r="Z17" s="16"/>
      <c r="AA17" s="61">
        <v>0</v>
      </c>
      <c r="AB17" s="60">
        <v>0</v>
      </c>
      <c r="AD17" s="61">
        <v>0</v>
      </c>
      <c r="AE17" s="60">
        <v>0</v>
      </c>
    </row>
    <row r="18" spans="1:33" s="7" customFormat="1" ht="18" customHeight="1" x14ac:dyDescent="0.2">
      <c r="A18" s="32"/>
      <c r="B18" s="32"/>
      <c r="C18" s="4">
        <v>0</v>
      </c>
      <c r="D18" s="4">
        <v>0</v>
      </c>
      <c r="E18" s="8"/>
      <c r="F18" s="45" t="s">
        <v>217</v>
      </c>
      <c r="G18" s="16"/>
      <c r="H18" s="62">
        <v>17.776</v>
      </c>
      <c r="I18" s="62">
        <v>0</v>
      </c>
      <c r="J18" s="62">
        <v>0</v>
      </c>
      <c r="K18" s="108">
        <v>0</v>
      </c>
      <c r="L18" s="108">
        <v>0</v>
      </c>
      <c r="M18" s="62">
        <v>0</v>
      </c>
      <c r="N18" s="62">
        <v>0</v>
      </c>
      <c r="O18" s="62">
        <v>0</v>
      </c>
      <c r="P18" s="62">
        <v>0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2">
        <v>0</v>
      </c>
      <c r="X18" s="62">
        <v>0</v>
      </c>
      <c r="Y18" s="62">
        <v>0</v>
      </c>
      <c r="Z18" s="16"/>
      <c r="AA18" s="62">
        <v>0</v>
      </c>
      <c r="AB18" s="60">
        <v>0</v>
      </c>
      <c r="AD18" s="62">
        <v>0</v>
      </c>
      <c r="AE18" s="60">
        <v>0</v>
      </c>
    </row>
    <row r="19" spans="1:33" ht="8.25" customHeight="1" x14ac:dyDescent="0.2">
      <c r="A19" s="116"/>
      <c r="F19" s="8"/>
      <c r="G19" s="16"/>
      <c r="K19" s="8"/>
      <c r="L19" s="8"/>
      <c r="Z19" s="16"/>
      <c r="AB19" s="8"/>
      <c r="AE19" s="8"/>
    </row>
    <row r="20" spans="1:33" s="7" customFormat="1" ht="18" customHeight="1" x14ac:dyDescent="0.2">
      <c r="A20" s="117" t="s">
        <v>310</v>
      </c>
      <c r="B20" s="117" t="s">
        <v>203</v>
      </c>
      <c r="C20" s="5">
        <v>0</v>
      </c>
      <c r="D20" s="5">
        <v>0</v>
      </c>
      <c r="F20" s="118" t="s">
        <v>326</v>
      </c>
      <c r="G20" s="16"/>
      <c r="H20" s="120">
        <v>114.88</v>
      </c>
      <c r="I20" s="120">
        <v>19.196000000000002</v>
      </c>
      <c r="J20" s="120">
        <v>19.196000000000002</v>
      </c>
      <c r="K20" s="121">
        <v>0</v>
      </c>
      <c r="L20" s="121">
        <v>0</v>
      </c>
      <c r="M20" s="120">
        <v>0</v>
      </c>
      <c r="N20" s="120">
        <v>0</v>
      </c>
      <c r="O20" s="120">
        <v>0</v>
      </c>
      <c r="P20" s="120">
        <v>0</v>
      </c>
      <c r="Q20" s="120">
        <v>0</v>
      </c>
      <c r="R20" s="120">
        <v>0</v>
      </c>
      <c r="S20" s="120">
        <v>0</v>
      </c>
      <c r="T20" s="120">
        <v>0</v>
      </c>
      <c r="U20" s="120">
        <v>0</v>
      </c>
      <c r="V20" s="120">
        <v>0</v>
      </c>
      <c r="W20" s="120">
        <v>0</v>
      </c>
      <c r="X20" s="120">
        <v>0</v>
      </c>
      <c r="Y20" s="120">
        <v>0</v>
      </c>
      <c r="Z20" s="16"/>
      <c r="AA20" s="120">
        <v>0</v>
      </c>
      <c r="AB20" s="60">
        <v>0</v>
      </c>
      <c r="AD20" s="120">
        <v>0</v>
      </c>
      <c r="AE20" s="60">
        <v>0</v>
      </c>
    </row>
    <row r="21" spans="1:33" ht="8.25" customHeight="1" x14ac:dyDescent="0.2">
      <c r="A21" s="116"/>
      <c r="F21" s="8"/>
      <c r="G21" s="16"/>
      <c r="K21" s="8"/>
      <c r="L21" s="8"/>
      <c r="Z21" s="16"/>
      <c r="AB21" s="8"/>
      <c r="AE21" s="8"/>
    </row>
    <row r="22" spans="1:33" ht="18" customHeight="1" x14ac:dyDescent="0.2">
      <c r="A22" s="30" t="s">
        <v>310</v>
      </c>
      <c r="B22" s="30" t="s">
        <v>115</v>
      </c>
      <c r="C22" s="4">
        <v>0</v>
      </c>
      <c r="D22" s="4">
        <v>0</v>
      </c>
      <c r="F22" s="51" t="s">
        <v>327</v>
      </c>
      <c r="G22" s="16"/>
      <c r="H22" s="61">
        <v>0</v>
      </c>
      <c r="I22" s="61">
        <v>0</v>
      </c>
      <c r="J22" s="61">
        <v>0</v>
      </c>
      <c r="K22" s="86">
        <v>0</v>
      </c>
      <c r="L22" s="86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16"/>
      <c r="AA22" s="61">
        <v>0</v>
      </c>
      <c r="AB22" s="60">
        <v>0</v>
      </c>
      <c r="AC22" s="34"/>
      <c r="AD22" s="61">
        <v>0</v>
      </c>
      <c r="AE22" s="60">
        <v>0</v>
      </c>
    </row>
    <row r="23" spans="1:33" ht="18" customHeight="1" x14ac:dyDescent="0.2">
      <c r="A23" s="30" t="s">
        <v>310</v>
      </c>
      <c r="B23" s="30" t="s">
        <v>116</v>
      </c>
      <c r="C23" s="4">
        <v>0</v>
      </c>
      <c r="D23" s="4">
        <v>0</v>
      </c>
      <c r="F23" s="51" t="s">
        <v>328</v>
      </c>
      <c r="G23" s="16"/>
      <c r="H23" s="61">
        <v>0</v>
      </c>
      <c r="I23" s="61">
        <v>0</v>
      </c>
      <c r="J23" s="61">
        <v>0</v>
      </c>
      <c r="K23" s="86">
        <v>0</v>
      </c>
      <c r="L23" s="86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16"/>
      <c r="AA23" s="61">
        <v>0</v>
      </c>
      <c r="AB23" s="60">
        <v>0</v>
      </c>
      <c r="AC23" s="34"/>
      <c r="AD23" s="61">
        <v>0</v>
      </c>
      <c r="AE23" s="60">
        <v>0</v>
      </c>
    </row>
    <row r="24" spans="1:33" ht="18" hidden="1" customHeight="1" outlineLevel="1" x14ac:dyDescent="0.2">
      <c r="A24" s="46" t="s">
        <v>298</v>
      </c>
      <c r="B24" s="46" t="s">
        <v>117</v>
      </c>
      <c r="C24" s="47">
        <v>0</v>
      </c>
      <c r="D24" s="47">
        <v>0</v>
      </c>
      <c r="E24" s="31"/>
      <c r="F24" s="94" t="s">
        <v>329</v>
      </c>
      <c r="G24" s="16"/>
      <c r="H24" s="59">
        <v>7.6529999999999996</v>
      </c>
      <c r="I24" s="59">
        <v>1.161</v>
      </c>
      <c r="J24" s="59">
        <v>1.161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0</v>
      </c>
      <c r="X24" s="59">
        <v>0</v>
      </c>
      <c r="Y24" s="59">
        <v>0</v>
      </c>
      <c r="Z24" s="16"/>
      <c r="AA24" s="59">
        <v>0</v>
      </c>
      <c r="AB24" s="63">
        <v>0</v>
      </c>
      <c r="AC24" s="31"/>
      <c r="AD24" s="59">
        <v>0</v>
      </c>
      <c r="AE24" s="63">
        <v>0</v>
      </c>
    </row>
    <row r="25" spans="1:33" ht="18" customHeight="1" collapsed="1" x14ac:dyDescent="0.2">
      <c r="A25" s="32"/>
      <c r="B25" s="32"/>
      <c r="C25" s="4">
        <v>0</v>
      </c>
      <c r="D25" s="4">
        <v>0</v>
      </c>
      <c r="F25" s="51" t="s">
        <v>372</v>
      </c>
      <c r="G25" s="16"/>
      <c r="H25" s="61">
        <v>0</v>
      </c>
      <c r="I25" s="61">
        <v>0</v>
      </c>
      <c r="J25" s="61">
        <v>0</v>
      </c>
      <c r="K25" s="86">
        <v>0</v>
      </c>
      <c r="L25" s="86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16"/>
      <c r="AA25" s="61">
        <v>0</v>
      </c>
      <c r="AB25" s="60">
        <v>0</v>
      </c>
      <c r="AC25" s="34"/>
      <c r="AD25" s="61">
        <v>0</v>
      </c>
      <c r="AE25" s="60">
        <v>0</v>
      </c>
      <c r="AG25" s="48"/>
    </row>
    <row r="26" spans="1:33" ht="18" customHeight="1" x14ac:dyDescent="0.2">
      <c r="A26" s="30" t="s">
        <v>310</v>
      </c>
      <c r="B26" s="30" t="s">
        <v>330</v>
      </c>
      <c r="C26" s="4">
        <v>0</v>
      </c>
      <c r="D26" s="4">
        <v>0</v>
      </c>
      <c r="F26" s="51" t="s">
        <v>331</v>
      </c>
      <c r="G26" s="16"/>
      <c r="H26" s="61">
        <v>0</v>
      </c>
      <c r="I26" s="61">
        <v>0</v>
      </c>
      <c r="J26" s="61">
        <v>0</v>
      </c>
      <c r="K26" s="86">
        <v>0</v>
      </c>
      <c r="L26" s="86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16"/>
      <c r="AA26" s="61">
        <v>0</v>
      </c>
      <c r="AB26" s="60">
        <v>0</v>
      </c>
      <c r="AC26" s="34"/>
      <c r="AD26" s="61">
        <v>0</v>
      </c>
      <c r="AE26" s="60">
        <v>0</v>
      </c>
    </row>
    <row r="27" spans="1:33" ht="18" customHeight="1" x14ac:dyDescent="0.2">
      <c r="A27" s="30" t="s">
        <v>310</v>
      </c>
      <c r="B27" s="30" t="s">
        <v>332</v>
      </c>
      <c r="C27" s="4">
        <v>0</v>
      </c>
      <c r="D27" s="4">
        <v>0</v>
      </c>
      <c r="F27" s="51" t="s">
        <v>333</v>
      </c>
      <c r="G27" s="16"/>
      <c r="H27" s="61">
        <v>0</v>
      </c>
      <c r="I27" s="61">
        <v>0</v>
      </c>
      <c r="J27" s="61">
        <v>0</v>
      </c>
      <c r="K27" s="86">
        <v>0</v>
      </c>
      <c r="L27" s="86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16"/>
      <c r="AA27" s="61">
        <v>0</v>
      </c>
      <c r="AB27" s="60">
        <v>0</v>
      </c>
      <c r="AC27" s="34"/>
      <c r="AD27" s="61">
        <v>0</v>
      </c>
      <c r="AE27" s="60">
        <v>0</v>
      </c>
    </row>
    <row r="28" spans="1:33" ht="18" customHeight="1" x14ac:dyDescent="0.2">
      <c r="A28" s="30" t="s">
        <v>310</v>
      </c>
      <c r="B28" s="30" t="s">
        <v>335</v>
      </c>
      <c r="C28" s="4">
        <v>0.99930118798043321</v>
      </c>
      <c r="D28" s="4">
        <v>0.99930118798043321</v>
      </c>
      <c r="F28" s="51" t="s">
        <v>336</v>
      </c>
      <c r="G28" s="16"/>
      <c r="H28" s="61">
        <v>309.12700000000001</v>
      </c>
      <c r="I28" s="61">
        <v>48.396999999999998</v>
      </c>
      <c r="J28" s="61">
        <v>48.396999999999998</v>
      </c>
      <c r="K28" s="86">
        <v>0</v>
      </c>
      <c r="L28" s="86">
        <v>0</v>
      </c>
      <c r="M28" s="61">
        <v>0</v>
      </c>
      <c r="N28" s="61">
        <v>0.499</v>
      </c>
      <c r="O28" s="61">
        <v>0</v>
      </c>
      <c r="P28" s="61">
        <v>0</v>
      </c>
      <c r="Q28" s="61">
        <v>0</v>
      </c>
      <c r="R28" s="61">
        <v>0.83900000000000008</v>
      </c>
      <c r="S28" s="61">
        <v>-0.16700000000000004</v>
      </c>
      <c r="T28" s="61">
        <v>0</v>
      </c>
      <c r="U28" s="61">
        <v>0</v>
      </c>
      <c r="V28" s="61">
        <v>0</v>
      </c>
      <c r="W28" s="61">
        <v>0</v>
      </c>
      <c r="X28" s="61">
        <v>0.26</v>
      </c>
      <c r="Y28" s="61">
        <v>1.431</v>
      </c>
      <c r="Z28" s="16"/>
      <c r="AA28" s="61">
        <v>0</v>
      </c>
      <c r="AB28" s="60">
        <v>1.43</v>
      </c>
      <c r="AC28" s="34"/>
      <c r="AD28" s="61">
        <v>0</v>
      </c>
      <c r="AE28" s="60">
        <v>1.43</v>
      </c>
    </row>
    <row r="29" spans="1:33" ht="18" customHeight="1" x14ac:dyDescent="0.2">
      <c r="A29" s="30" t="s">
        <v>310</v>
      </c>
      <c r="B29" s="30" t="s">
        <v>337</v>
      </c>
      <c r="C29" s="4">
        <v>0</v>
      </c>
      <c r="D29" s="4">
        <v>0</v>
      </c>
      <c r="F29" s="51" t="s">
        <v>338</v>
      </c>
      <c r="G29" s="16"/>
      <c r="H29" s="61">
        <v>0</v>
      </c>
      <c r="I29" s="61">
        <v>0</v>
      </c>
      <c r="J29" s="61">
        <v>0</v>
      </c>
      <c r="K29" s="86">
        <v>0</v>
      </c>
      <c r="L29" s="86">
        <v>0</v>
      </c>
      <c r="M29" s="61">
        <v>0</v>
      </c>
      <c r="N29" s="61">
        <v>0</v>
      </c>
      <c r="O29" s="61">
        <v>0</v>
      </c>
      <c r="P29" s="61">
        <v>0</v>
      </c>
      <c r="Q29" s="61">
        <v>0</v>
      </c>
      <c r="R29" s="61">
        <v>0</v>
      </c>
      <c r="S29" s="61">
        <v>0</v>
      </c>
      <c r="T29" s="61">
        <v>0</v>
      </c>
      <c r="U29" s="61">
        <v>0</v>
      </c>
      <c r="V29" s="61">
        <v>0</v>
      </c>
      <c r="W29" s="61">
        <v>0</v>
      </c>
      <c r="X29" s="61">
        <v>0</v>
      </c>
      <c r="Y29" s="61">
        <v>0</v>
      </c>
      <c r="Z29" s="16"/>
      <c r="AA29" s="61">
        <v>0</v>
      </c>
      <c r="AB29" s="60">
        <v>0</v>
      </c>
      <c r="AC29" s="34"/>
      <c r="AD29" s="61">
        <v>0</v>
      </c>
      <c r="AE29" s="60">
        <v>0</v>
      </c>
    </row>
    <row r="30" spans="1:33" ht="18" customHeight="1" x14ac:dyDescent="0.2">
      <c r="A30" s="30" t="s">
        <v>310</v>
      </c>
      <c r="B30" s="30" t="s">
        <v>458</v>
      </c>
      <c r="C30" s="4">
        <v>0</v>
      </c>
      <c r="D30" s="4">
        <v>0</v>
      </c>
      <c r="F30" s="213" t="s">
        <v>443</v>
      </c>
      <c r="G30" s="16"/>
      <c r="H30" s="61">
        <v>0</v>
      </c>
      <c r="I30" s="61">
        <v>0</v>
      </c>
      <c r="J30" s="61">
        <v>0</v>
      </c>
      <c r="K30" s="86">
        <v>0</v>
      </c>
      <c r="L30" s="86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16"/>
      <c r="AA30" s="61">
        <v>0</v>
      </c>
      <c r="AB30" s="60">
        <v>0</v>
      </c>
      <c r="AC30" s="34"/>
      <c r="AD30" s="61">
        <v>0</v>
      </c>
      <c r="AE30" s="60">
        <v>0</v>
      </c>
    </row>
    <row r="31" spans="1:33" ht="18" customHeight="1" x14ac:dyDescent="0.2">
      <c r="A31" s="30" t="s">
        <v>310</v>
      </c>
      <c r="B31" s="30" t="s">
        <v>341</v>
      </c>
      <c r="C31" s="4">
        <v>0</v>
      </c>
      <c r="D31" s="4">
        <v>0</v>
      </c>
      <c r="F31" s="51" t="s">
        <v>342</v>
      </c>
      <c r="G31" s="16"/>
      <c r="H31" s="61">
        <v>0</v>
      </c>
      <c r="I31" s="61">
        <v>0</v>
      </c>
      <c r="J31" s="61">
        <v>0</v>
      </c>
      <c r="K31" s="86">
        <v>0</v>
      </c>
      <c r="L31" s="86">
        <v>0</v>
      </c>
      <c r="M31" s="61">
        <v>0</v>
      </c>
      <c r="N31" s="61">
        <v>0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16"/>
      <c r="AA31" s="61">
        <v>0</v>
      </c>
      <c r="AB31" s="60">
        <v>0</v>
      </c>
      <c r="AC31" s="34"/>
      <c r="AD31" s="61">
        <v>0</v>
      </c>
      <c r="AE31" s="60">
        <v>0</v>
      </c>
    </row>
    <row r="32" spans="1:33" ht="18" customHeight="1" x14ac:dyDescent="0.2">
      <c r="A32" s="32"/>
      <c r="B32" s="32"/>
      <c r="C32" s="4">
        <v>0</v>
      </c>
      <c r="D32" s="4">
        <v>0</v>
      </c>
      <c r="F32" s="51" t="s">
        <v>343</v>
      </c>
      <c r="G32" s="16"/>
      <c r="H32" s="61">
        <v>1.4210854715202004E-14</v>
      </c>
      <c r="I32" s="61">
        <v>7.1054273576010019E-15</v>
      </c>
      <c r="J32" s="61">
        <v>7.1054273576010019E-15</v>
      </c>
      <c r="K32" s="86">
        <v>0</v>
      </c>
      <c r="L32" s="86">
        <v>0</v>
      </c>
      <c r="M32" s="61">
        <v>0</v>
      </c>
      <c r="N32" s="61">
        <v>0</v>
      </c>
      <c r="O32" s="61">
        <v>0</v>
      </c>
      <c r="P32" s="61">
        <v>0</v>
      </c>
      <c r="Q32" s="61">
        <v>0</v>
      </c>
      <c r="R32" s="61">
        <v>0</v>
      </c>
      <c r="S32" s="61">
        <v>0</v>
      </c>
      <c r="T32" s="61">
        <v>0</v>
      </c>
      <c r="U32" s="61">
        <v>0</v>
      </c>
      <c r="V32" s="61">
        <v>0</v>
      </c>
      <c r="W32" s="61">
        <v>0</v>
      </c>
      <c r="X32" s="61">
        <v>0</v>
      </c>
      <c r="Y32" s="61">
        <v>0</v>
      </c>
      <c r="Z32" s="16"/>
      <c r="AA32" s="61">
        <v>0</v>
      </c>
      <c r="AB32" s="60">
        <v>0</v>
      </c>
      <c r="AC32" s="34"/>
      <c r="AD32" s="61">
        <v>0</v>
      </c>
      <c r="AE32" s="60">
        <v>0</v>
      </c>
    </row>
    <row r="33" spans="1:33" s="7" customFormat="1" ht="18" customHeight="1" x14ac:dyDescent="0.2">
      <c r="A33" s="32"/>
      <c r="B33" s="32"/>
      <c r="C33" s="5">
        <v>0.99930118798043321</v>
      </c>
      <c r="D33" s="5">
        <v>0.99930118798043321</v>
      </c>
      <c r="F33" s="118" t="s">
        <v>373</v>
      </c>
      <c r="G33" s="16"/>
      <c r="H33" s="120">
        <v>309.12700000000001</v>
      </c>
      <c r="I33" s="120">
        <v>48.397000000000006</v>
      </c>
      <c r="J33" s="120">
        <v>48.397000000000006</v>
      </c>
      <c r="K33" s="121">
        <v>0</v>
      </c>
      <c r="L33" s="121">
        <v>0</v>
      </c>
      <c r="M33" s="120">
        <v>0</v>
      </c>
      <c r="N33" s="120">
        <v>0.499</v>
      </c>
      <c r="O33" s="120">
        <v>0</v>
      </c>
      <c r="P33" s="120">
        <v>0</v>
      </c>
      <c r="Q33" s="120">
        <v>0</v>
      </c>
      <c r="R33" s="120">
        <v>0.83900000000000008</v>
      </c>
      <c r="S33" s="120">
        <v>-0.16700000000000004</v>
      </c>
      <c r="T33" s="120">
        <v>0</v>
      </c>
      <c r="U33" s="120">
        <v>0</v>
      </c>
      <c r="V33" s="120">
        <v>0</v>
      </c>
      <c r="W33" s="120">
        <v>0</v>
      </c>
      <c r="X33" s="120">
        <v>0.26</v>
      </c>
      <c r="Y33" s="120">
        <v>1.431</v>
      </c>
      <c r="Z33" s="16"/>
      <c r="AA33" s="120">
        <v>0</v>
      </c>
      <c r="AB33" s="60">
        <v>1.43</v>
      </c>
      <c r="AD33" s="120">
        <v>0</v>
      </c>
      <c r="AE33" s="60">
        <v>1.43</v>
      </c>
    </row>
    <row r="34" spans="1:33" ht="8.25" customHeight="1" x14ac:dyDescent="0.2">
      <c r="A34" s="116"/>
      <c r="B34" s="116"/>
      <c r="C34" s="4"/>
      <c r="D34" s="4"/>
      <c r="F34" s="8"/>
      <c r="G34" s="16"/>
      <c r="K34" s="8"/>
      <c r="L34" s="8"/>
      <c r="Z34" s="16"/>
      <c r="AB34" s="8"/>
      <c r="AE34" s="8"/>
    </row>
    <row r="35" spans="1:33" ht="18" hidden="1" customHeight="1" outlineLevel="1" x14ac:dyDescent="0.2">
      <c r="A35" s="46" t="s">
        <v>303</v>
      </c>
      <c r="B35" s="46" t="s">
        <v>17</v>
      </c>
      <c r="C35" s="47">
        <v>0</v>
      </c>
      <c r="D35" s="47">
        <v>0</v>
      </c>
      <c r="E35" s="31"/>
      <c r="F35" s="94" t="s">
        <v>346</v>
      </c>
      <c r="G35" s="16"/>
      <c r="H35" s="59">
        <v>0</v>
      </c>
      <c r="I35" s="59">
        <v>33.97</v>
      </c>
      <c r="J35" s="59">
        <v>33.97</v>
      </c>
      <c r="K35" s="59">
        <v>0</v>
      </c>
      <c r="L35" s="59">
        <v>0</v>
      </c>
      <c r="M35" s="59">
        <v>0</v>
      </c>
      <c r="N35" s="59">
        <v>0</v>
      </c>
      <c r="O35" s="59">
        <v>0</v>
      </c>
      <c r="P35" s="59">
        <v>0</v>
      </c>
      <c r="Q35" s="59">
        <v>0</v>
      </c>
      <c r="R35" s="59">
        <v>0</v>
      </c>
      <c r="S35" s="59">
        <v>0</v>
      </c>
      <c r="T35" s="59">
        <v>0</v>
      </c>
      <c r="U35" s="59">
        <v>0</v>
      </c>
      <c r="V35" s="59">
        <v>0</v>
      </c>
      <c r="W35" s="59">
        <v>0</v>
      </c>
      <c r="X35" s="59">
        <v>0</v>
      </c>
      <c r="Y35" s="59">
        <v>0</v>
      </c>
      <c r="Z35" s="16"/>
      <c r="AA35" s="59">
        <v>0</v>
      </c>
      <c r="AB35" s="63">
        <v>0</v>
      </c>
      <c r="AC35" s="31"/>
      <c r="AD35" s="59">
        <v>0</v>
      </c>
      <c r="AE35" s="63">
        <v>0</v>
      </c>
    </row>
    <row r="36" spans="1:33" ht="18" hidden="1" customHeight="1" outlineLevel="1" x14ac:dyDescent="0.2">
      <c r="A36" s="46" t="s">
        <v>301</v>
      </c>
      <c r="B36" s="46" t="s">
        <v>304</v>
      </c>
      <c r="C36" s="47">
        <v>0</v>
      </c>
      <c r="D36" s="47">
        <v>0</v>
      </c>
      <c r="E36" s="31"/>
      <c r="F36" s="94" t="s">
        <v>347</v>
      </c>
      <c r="G36" s="16"/>
      <c r="H36" s="59">
        <v>2.0030000000000001</v>
      </c>
      <c r="I36" s="59">
        <v>6.3710000000000004</v>
      </c>
      <c r="J36" s="59">
        <v>6.3710000000000004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  <c r="Q36" s="59">
        <v>0</v>
      </c>
      <c r="R36" s="59">
        <v>0</v>
      </c>
      <c r="S36" s="59">
        <v>0</v>
      </c>
      <c r="T36" s="59">
        <v>0</v>
      </c>
      <c r="U36" s="59">
        <v>0</v>
      </c>
      <c r="V36" s="59">
        <v>0</v>
      </c>
      <c r="W36" s="59">
        <v>0</v>
      </c>
      <c r="X36" s="59">
        <v>0</v>
      </c>
      <c r="Y36" s="59">
        <v>0</v>
      </c>
      <c r="Z36" s="16"/>
      <c r="AA36" s="59">
        <v>0</v>
      </c>
      <c r="AB36" s="63">
        <v>0</v>
      </c>
      <c r="AC36" s="31"/>
      <c r="AD36" s="59">
        <v>0</v>
      </c>
      <c r="AE36" s="63">
        <v>0</v>
      </c>
    </row>
    <row r="37" spans="1:33" ht="18" customHeight="1" collapsed="1" x14ac:dyDescent="0.2">
      <c r="A37" s="32"/>
      <c r="B37" s="32"/>
      <c r="C37" s="4">
        <v>0</v>
      </c>
      <c r="D37" s="4">
        <v>0</v>
      </c>
      <c r="F37" s="213" t="s">
        <v>436</v>
      </c>
      <c r="G37" s="16"/>
      <c r="H37" s="61">
        <v>2.0030000000000001</v>
      </c>
      <c r="I37" s="61">
        <v>40.341000000000001</v>
      </c>
      <c r="J37" s="61">
        <v>40.341000000000001</v>
      </c>
      <c r="K37" s="86">
        <v>0</v>
      </c>
      <c r="L37" s="86">
        <v>0</v>
      </c>
      <c r="M37" s="61">
        <v>0</v>
      </c>
      <c r="N37" s="61">
        <v>0</v>
      </c>
      <c r="O37" s="61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0</v>
      </c>
      <c r="Y37" s="61">
        <v>0</v>
      </c>
      <c r="Z37" s="16"/>
      <c r="AA37" s="61">
        <v>0</v>
      </c>
      <c r="AB37" s="60">
        <v>0</v>
      </c>
      <c r="AC37" s="34"/>
      <c r="AD37" s="61">
        <v>0</v>
      </c>
      <c r="AE37" s="60">
        <v>0</v>
      </c>
      <c r="AG37" s="48"/>
    </row>
    <row r="38" spans="1:33" ht="18" hidden="1" customHeight="1" outlineLevel="1" x14ac:dyDescent="0.2">
      <c r="A38" s="46" t="s">
        <v>300</v>
      </c>
      <c r="B38" s="46" t="s">
        <v>17</v>
      </c>
      <c r="C38" s="47">
        <v>0</v>
      </c>
      <c r="D38" s="47">
        <v>0</v>
      </c>
      <c r="E38" s="31"/>
      <c r="F38" s="217" t="s">
        <v>437</v>
      </c>
      <c r="G38" s="16"/>
      <c r="H38" s="59">
        <v>7.6529999999999996</v>
      </c>
      <c r="I38" s="59">
        <v>0</v>
      </c>
      <c r="J38" s="59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59">
        <v>0</v>
      </c>
      <c r="Q38" s="59">
        <v>0</v>
      </c>
      <c r="R38" s="59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16"/>
      <c r="AA38" s="59">
        <v>0</v>
      </c>
      <c r="AB38" s="63">
        <v>0</v>
      </c>
      <c r="AC38" s="31"/>
      <c r="AD38" s="59">
        <v>0</v>
      </c>
      <c r="AE38" s="63">
        <v>0</v>
      </c>
    </row>
    <row r="39" spans="1:33" ht="18" hidden="1" customHeight="1" outlineLevel="1" x14ac:dyDescent="0.2">
      <c r="A39" s="46" t="s">
        <v>301</v>
      </c>
      <c r="B39" s="46" t="s">
        <v>302</v>
      </c>
      <c r="C39" s="47">
        <v>0</v>
      </c>
      <c r="D39" s="47">
        <v>0</v>
      </c>
      <c r="E39" s="31"/>
      <c r="F39" s="217" t="s">
        <v>438</v>
      </c>
      <c r="G39" s="16"/>
      <c r="H39" s="59">
        <v>0</v>
      </c>
      <c r="I39" s="59">
        <v>1.161</v>
      </c>
      <c r="J39" s="59">
        <v>1.161</v>
      </c>
      <c r="K39" s="59">
        <v>0</v>
      </c>
      <c r="L39" s="59">
        <v>0</v>
      </c>
      <c r="M39" s="59">
        <v>0</v>
      </c>
      <c r="N39" s="59">
        <v>0</v>
      </c>
      <c r="O39" s="59">
        <v>0</v>
      </c>
      <c r="P39" s="59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0</v>
      </c>
      <c r="X39" s="59">
        <v>0</v>
      </c>
      <c r="Y39" s="59">
        <v>0</v>
      </c>
      <c r="Z39" s="16"/>
      <c r="AA39" s="59">
        <v>0</v>
      </c>
      <c r="AB39" s="63">
        <v>0</v>
      </c>
      <c r="AC39" s="31"/>
      <c r="AD39" s="59">
        <v>0</v>
      </c>
      <c r="AE39" s="63">
        <v>0</v>
      </c>
    </row>
    <row r="40" spans="1:33" ht="18" customHeight="1" collapsed="1" x14ac:dyDescent="0.2">
      <c r="A40" s="32"/>
      <c r="B40" s="32"/>
      <c r="C40" s="4">
        <v>0</v>
      </c>
      <c r="D40" s="4">
        <v>0</v>
      </c>
      <c r="F40" s="213" t="s">
        <v>439</v>
      </c>
      <c r="G40" s="16"/>
      <c r="H40" s="61">
        <v>7.6529999999999996</v>
      </c>
      <c r="I40" s="61">
        <v>1.161</v>
      </c>
      <c r="J40" s="61">
        <v>1.161</v>
      </c>
      <c r="K40" s="86">
        <v>0</v>
      </c>
      <c r="L40" s="86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16"/>
      <c r="AA40" s="61">
        <v>0</v>
      </c>
      <c r="AB40" s="60">
        <v>0</v>
      </c>
      <c r="AC40" s="34"/>
      <c r="AD40" s="61">
        <v>0</v>
      </c>
      <c r="AE40" s="60">
        <v>0</v>
      </c>
      <c r="AG40" s="48"/>
    </row>
    <row r="41" spans="1:33" ht="18" hidden="1" customHeight="1" outlineLevel="1" x14ac:dyDescent="0.2">
      <c r="A41" s="46" t="s">
        <v>309</v>
      </c>
      <c r="B41" s="46" t="s">
        <v>17</v>
      </c>
      <c r="C41" s="47">
        <v>0</v>
      </c>
      <c r="D41" s="47">
        <v>0</v>
      </c>
      <c r="E41" s="31"/>
      <c r="F41" s="217" t="s">
        <v>440</v>
      </c>
      <c r="G41" s="16"/>
      <c r="H41" s="59">
        <v>10.596</v>
      </c>
      <c r="I41" s="59">
        <v>3.7690000000000001</v>
      </c>
      <c r="J41" s="59">
        <v>3.7690000000000001</v>
      </c>
      <c r="K41" s="59">
        <v>0</v>
      </c>
      <c r="L41" s="59">
        <v>0</v>
      </c>
      <c r="M41" s="59">
        <v>0</v>
      </c>
      <c r="N41" s="59">
        <v>0</v>
      </c>
      <c r="O41" s="59">
        <v>0</v>
      </c>
      <c r="P41" s="59">
        <v>0</v>
      </c>
      <c r="Q41" s="59">
        <v>0</v>
      </c>
      <c r="R41" s="59">
        <v>0</v>
      </c>
      <c r="S41" s="59">
        <v>0</v>
      </c>
      <c r="T41" s="59">
        <v>0</v>
      </c>
      <c r="U41" s="59">
        <v>0</v>
      </c>
      <c r="V41" s="59">
        <v>0</v>
      </c>
      <c r="W41" s="59">
        <v>0</v>
      </c>
      <c r="X41" s="59">
        <v>0</v>
      </c>
      <c r="Y41" s="59">
        <v>0</v>
      </c>
      <c r="Z41" s="16"/>
      <c r="AA41" s="59">
        <v>0</v>
      </c>
      <c r="AB41" s="63">
        <v>0</v>
      </c>
      <c r="AC41" s="31"/>
      <c r="AD41" s="59">
        <v>0</v>
      </c>
      <c r="AE41" s="63">
        <v>0</v>
      </c>
    </row>
    <row r="42" spans="1:33" ht="18" hidden="1" customHeight="1" outlineLevel="1" x14ac:dyDescent="0.2">
      <c r="A42" s="46" t="s">
        <v>301</v>
      </c>
      <c r="B42" s="46" t="s">
        <v>308</v>
      </c>
      <c r="C42" s="47">
        <v>0</v>
      </c>
      <c r="D42" s="47">
        <v>0</v>
      </c>
      <c r="E42" s="31"/>
      <c r="F42" s="217" t="s">
        <v>441</v>
      </c>
      <c r="G42" s="16"/>
      <c r="H42" s="59">
        <v>0.161</v>
      </c>
      <c r="I42" s="59">
        <v>0</v>
      </c>
      <c r="J42" s="59">
        <v>0</v>
      </c>
      <c r="K42" s="59">
        <v>0</v>
      </c>
      <c r="L42" s="59">
        <v>0</v>
      </c>
      <c r="M42" s="59">
        <v>0</v>
      </c>
      <c r="N42" s="59">
        <v>0</v>
      </c>
      <c r="O42" s="59">
        <v>0</v>
      </c>
      <c r="P42" s="59">
        <v>0</v>
      </c>
      <c r="Q42" s="59">
        <v>0</v>
      </c>
      <c r="R42" s="59">
        <v>0</v>
      </c>
      <c r="S42" s="59">
        <v>0</v>
      </c>
      <c r="T42" s="59">
        <v>0</v>
      </c>
      <c r="U42" s="59">
        <v>0</v>
      </c>
      <c r="V42" s="59">
        <v>0</v>
      </c>
      <c r="W42" s="59">
        <v>0</v>
      </c>
      <c r="X42" s="59">
        <v>0</v>
      </c>
      <c r="Y42" s="59">
        <v>0</v>
      </c>
      <c r="Z42" s="16"/>
      <c r="AA42" s="59">
        <v>0</v>
      </c>
      <c r="AB42" s="63">
        <v>0</v>
      </c>
      <c r="AC42" s="31"/>
      <c r="AD42" s="59">
        <v>0</v>
      </c>
      <c r="AE42" s="63">
        <v>0</v>
      </c>
    </row>
    <row r="43" spans="1:33" ht="18" customHeight="1" collapsed="1" x14ac:dyDescent="0.2">
      <c r="A43" s="32"/>
      <c r="B43" s="32"/>
      <c r="C43" s="4">
        <v>0</v>
      </c>
      <c r="D43" s="4">
        <v>0</v>
      </c>
      <c r="F43" s="213" t="s">
        <v>442</v>
      </c>
      <c r="G43" s="16"/>
      <c r="H43" s="61">
        <v>10.757</v>
      </c>
      <c r="I43" s="61">
        <v>3.7690000000000001</v>
      </c>
      <c r="J43" s="61">
        <v>3.7690000000000001</v>
      </c>
      <c r="K43" s="86">
        <v>0</v>
      </c>
      <c r="L43" s="86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16"/>
      <c r="AA43" s="61">
        <v>0</v>
      </c>
      <c r="AB43" s="60">
        <v>0</v>
      </c>
      <c r="AC43" s="34"/>
      <c r="AD43" s="61">
        <v>0</v>
      </c>
      <c r="AE43" s="60">
        <v>0</v>
      </c>
      <c r="AG43" s="48"/>
    </row>
    <row r="44" spans="1:33" ht="18" hidden="1" customHeight="1" outlineLevel="1" x14ac:dyDescent="0.2">
      <c r="A44" s="212" t="s">
        <v>435</v>
      </c>
      <c r="B44" s="46" t="s">
        <v>17</v>
      </c>
      <c r="C44" s="47">
        <v>0</v>
      </c>
      <c r="D44" s="47">
        <v>0</v>
      </c>
      <c r="E44" s="31"/>
      <c r="F44" s="200" t="s">
        <v>433</v>
      </c>
      <c r="G44" s="16"/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  <c r="N44" s="59">
        <v>0</v>
      </c>
      <c r="O44" s="59">
        <v>0</v>
      </c>
      <c r="P44" s="59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16"/>
      <c r="AA44" s="59">
        <v>0</v>
      </c>
      <c r="AB44" s="63">
        <v>0</v>
      </c>
      <c r="AC44" s="31"/>
      <c r="AD44" s="59">
        <v>0</v>
      </c>
      <c r="AE44" s="63">
        <v>0</v>
      </c>
    </row>
    <row r="45" spans="1:33" ht="18" hidden="1" customHeight="1" outlineLevel="1" x14ac:dyDescent="0.2">
      <c r="A45" s="46" t="s">
        <v>301</v>
      </c>
      <c r="B45" s="212" t="s">
        <v>451</v>
      </c>
      <c r="C45" s="47">
        <v>0</v>
      </c>
      <c r="D45" s="47">
        <v>0</v>
      </c>
      <c r="E45" s="31"/>
      <c r="F45" s="200" t="s">
        <v>434</v>
      </c>
      <c r="G45" s="16"/>
      <c r="H45" s="59">
        <v>0</v>
      </c>
      <c r="I45" s="59">
        <v>0</v>
      </c>
      <c r="J45" s="59">
        <v>0</v>
      </c>
      <c r="K45" s="59">
        <v>0</v>
      </c>
      <c r="L45" s="59">
        <v>0</v>
      </c>
      <c r="M45" s="59">
        <v>0</v>
      </c>
      <c r="N45" s="59">
        <v>0</v>
      </c>
      <c r="O45" s="59">
        <v>0</v>
      </c>
      <c r="P45" s="59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16"/>
      <c r="AA45" s="59">
        <v>0</v>
      </c>
      <c r="AB45" s="63">
        <v>0</v>
      </c>
      <c r="AC45" s="31"/>
      <c r="AD45" s="59">
        <v>0</v>
      </c>
      <c r="AE45" s="63">
        <v>0</v>
      </c>
    </row>
    <row r="46" spans="1:33" ht="18" customHeight="1" collapsed="1" x14ac:dyDescent="0.2">
      <c r="A46" s="32"/>
      <c r="B46" s="32"/>
      <c r="C46" s="4">
        <v>0</v>
      </c>
      <c r="D46" s="4">
        <v>0</v>
      </c>
      <c r="F46" s="51" t="s">
        <v>432</v>
      </c>
      <c r="G46" s="16"/>
      <c r="H46" s="197">
        <v>0</v>
      </c>
      <c r="I46" s="197">
        <v>0</v>
      </c>
      <c r="J46" s="197">
        <v>0</v>
      </c>
      <c r="K46" s="86">
        <v>0</v>
      </c>
      <c r="L46" s="86">
        <v>0</v>
      </c>
      <c r="M46" s="197">
        <v>0</v>
      </c>
      <c r="N46" s="197">
        <v>0</v>
      </c>
      <c r="O46" s="197">
        <v>0</v>
      </c>
      <c r="P46" s="197">
        <v>0</v>
      </c>
      <c r="Q46" s="197">
        <v>0</v>
      </c>
      <c r="R46" s="197">
        <v>0</v>
      </c>
      <c r="S46" s="197">
        <v>0</v>
      </c>
      <c r="T46" s="197">
        <v>0</v>
      </c>
      <c r="U46" s="197">
        <v>0</v>
      </c>
      <c r="V46" s="197">
        <v>0</v>
      </c>
      <c r="W46" s="197">
        <v>0</v>
      </c>
      <c r="X46" s="197">
        <v>0</v>
      </c>
      <c r="Y46" s="197">
        <v>0</v>
      </c>
      <c r="Z46" s="16"/>
      <c r="AA46" s="197">
        <v>0</v>
      </c>
      <c r="AB46" s="60">
        <v>0</v>
      </c>
      <c r="AC46" s="34"/>
      <c r="AD46" s="197">
        <v>0</v>
      </c>
      <c r="AE46" s="60">
        <v>0</v>
      </c>
      <c r="AG46" s="48"/>
    </row>
    <row r="47" spans="1:33" ht="18" hidden="1" customHeight="1" outlineLevel="1" x14ac:dyDescent="0.2">
      <c r="A47" s="46" t="s">
        <v>306</v>
      </c>
      <c r="B47" s="46" t="s">
        <v>17</v>
      </c>
      <c r="C47" s="47">
        <v>0</v>
      </c>
      <c r="D47" s="47">
        <v>0</v>
      </c>
      <c r="E47" s="31"/>
      <c r="F47" s="94" t="s">
        <v>350</v>
      </c>
      <c r="G47" s="16"/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16"/>
      <c r="AA47" s="59">
        <v>0</v>
      </c>
      <c r="AB47" s="63">
        <v>0</v>
      </c>
      <c r="AC47" s="31"/>
      <c r="AD47" s="59">
        <v>0</v>
      </c>
      <c r="AE47" s="63">
        <v>0</v>
      </c>
    </row>
    <row r="48" spans="1:33" ht="18" hidden="1" customHeight="1" outlineLevel="1" x14ac:dyDescent="0.2">
      <c r="A48" s="46" t="s">
        <v>301</v>
      </c>
      <c r="B48" s="46" t="s">
        <v>307</v>
      </c>
      <c r="C48" s="47">
        <v>0</v>
      </c>
      <c r="D48" s="47">
        <v>0</v>
      </c>
      <c r="E48" s="31"/>
      <c r="F48" s="94" t="s">
        <v>351</v>
      </c>
      <c r="G48" s="16"/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16"/>
      <c r="AA48" s="59">
        <v>0</v>
      </c>
      <c r="AB48" s="63">
        <v>0</v>
      </c>
      <c r="AC48" s="31"/>
      <c r="AD48" s="59">
        <v>0</v>
      </c>
      <c r="AE48" s="63">
        <v>0</v>
      </c>
    </row>
    <row r="49" spans="1:33" ht="18" customHeight="1" collapsed="1" x14ac:dyDescent="0.2">
      <c r="A49" s="32"/>
      <c r="B49" s="32"/>
      <c r="C49" s="4">
        <v>0</v>
      </c>
      <c r="D49" s="4">
        <v>0</v>
      </c>
      <c r="F49" s="51" t="s">
        <v>325</v>
      </c>
      <c r="G49" s="16"/>
      <c r="H49" s="61">
        <v>0</v>
      </c>
      <c r="I49" s="61">
        <v>0</v>
      </c>
      <c r="J49" s="61">
        <v>0</v>
      </c>
      <c r="K49" s="86">
        <v>0</v>
      </c>
      <c r="L49" s="86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  <c r="R49" s="61">
        <v>0</v>
      </c>
      <c r="S49" s="61">
        <v>0</v>
      </c>
      <c r="T49" s="61">
        <v>0</v>
      </c>
      <c r="U49" s="61">
        <v>0</v>
      </c>
      <c r="V49" s="61">
        <v>0</v>
      </c>
      <c r="W49" s="61">
        <v>0</v>
      </c>
      <c r="X49" s="61">
        <v>0</v>
      </c>
      <c r="Y49" s="61">
        <v>0</v>
      </c>
      <c r="Z49" s="16"/>
      <c r="AA49" s="61">
        <v>0</v>
      </c>
      <c r="AB49" s="60">
        <v>0</v>
      </c>
      <c r="AC49" s="34"/>
      <c r="AD49" s="61">
        <v>0</v>
      </c>
      <c r="AE49" s="60">
        <v>0</v>
      </c>
      <c r="AG49" s="48"/>
    </row>
    <row r="50" spans="1:33" ht="18" hidden="1" customHeight="1" outlineLevel="1" x14ac:dyDescent="0.2">
      <c r="A50" s="46" t="s">
        <v>305</v>
      </c>
      <c r="B50" s="46" t="s">
        <v>17</v>
      </c>
      <c r="C50" s="47">
        <v>0</v>
      </c>
      <c r="D50" s="47">
        <v>0</v>
      </c>
      <c r="E50" s="31"/>
      <c r="F50" s="94" t="s">
        <v>353</v>
      </c>
      <c r="G50" s="16"/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0</v>
      </c>
      <c r="Z50" s="16"/>
      <c r="AA50" s="59">
        <v>0</v>
      </c>
      <c r="AB50" s="63">
        <v>0</v>
      </c>
      <c r="AC50" s="31"/>
      <c r="AD50" s="59">
        <v>0</v>
      </c>
      <c r="AE50" s="63">
        <v>0</v>
      </c>
    </row>
    <row r="51" spans="1:33" ht="18" hidden="1" customHeight="1" outlineLevel="1" x14ac:dyDescent="0.2">
      <c r="A51" s="46" t="s">
        <v>301</v>
      </c>
      <c r="B51" s="46" t="s">
        <v>352</v>
      </c>
      <c r="C51" s="47">
        <v>0</v>
      </c>
      <c r="D51" s="47">
        <v>0</v>
      </c>
      <c r="E51" s="31"/>
      <c r="F51" s="94" t="s">
        <v>354</v>
      </c>
      <c r="G51" s="16"/>
      <c r="H51" s="59">
        <v>0</v>
      </c>
      <c r="I51" s="59">
        <v>0</v>
      </c>
      <c r="J51" s="59">
        <v>0</v>
      </c>
      <c r="K51" s="59">
        <v>0</v>
      </c>
      <c r="L51" s="59">
        <v>0</v>
      </c>
      <c r="M51" s="59">
        <v>0</v>
      </c>
      <c r="N51" s="59">
        <v>0</v>
      </c>
      <c r="O51" s="59">
        <v>0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59">
        <v>0</v>
      </c>
      <c r="Y51" s="59">
        <v>0</v>
      </c>
      <c r="Z51" s="16"/>
      <c r="AA51" s="59">
        <v>0</v>
      </c>
      <c r="AB51" s="63">
        <v>0</v>
      </c>
      <c r="AC51" s="31"/>
      <c r="AD51" s="59">
        <v>0</v>
      </c>
      <c r="AE51" s="63">
        <v>0</v>
      </c>
    </row>
    <row r="52" spans="1:33" ht="18" hidden="1" customHeight="1" outlineLevel="1" x14ac:dyDescent="0.2">
      <c r="A52" s="46" t="s">
        <v>310</v>
      </c>
      <c r="B52" s="46" t="s">
        <v>334</v>
      </c>
      <c r="C52" s="47">
        <v>0</v>
      </c>
      <c r="D52" s="47">
        <v>0</v>
      </c>
      <c r="E52" s="31"/>
      <c r="F52" s="94" t="s">
        <v>355</v>
      </c>
      <c r="G52" s="16"/>
      <c r="H52" s="59">
        <v>0</v>
      </c>
      <c r="I52" s="59">
        <v>0</v>
      </c>
      <c r="J52" s="59">
        <v>0</v>
      </c>
      <c r="K52" s="59">
        <v>0</v>
      </c>
      <c r="L52" s="59">
        <v>0</v>
      </c>
      <c r="M52" s="59">
        <v>0</v>
      </c>
      <c r="N52" s="59">
        <v>0</v>
      </c>
      <c r="O52" s="59">
        <v>0</v>
      </c>
      <c r="P52" s="59">
        <v>0</v>
      </c>
      <c r="Q52" s="59">
        <v>0</v>
      </c>
      <c r="R52" s="59">
        <v>0</v>
      </c>
      <c r="S52" s="59">
        <v>0</v>
      </c>
      <c r="T52" s="59">
        <v>0</v>
      </c>
      <c r="U52" s="59">
        <v>0</v>
      </c>
      <c r="V52" s="59">
        <v>0</v>
      </c>
      <c r="W52" s="59">
        <v>0</v>
      </c>
      <c r="X52" s="59">
        <v>0</v>
      </c>
      <c r="Y52" s="59">
        <v>0</v>
      </c>
      <c r="Z52" s="16"/>
      <c r="AA52" s="59">
        <v>0</v>
      </c>
      <c r="AB52" s="60">
        <v>0</v>
      </c>
      <c r="AC52" s="31"/>
      <c r="AD52" s="59">
        <v>0</v>
      </c>
      <c r="AE52" s="60">
        <v>0</v>
      </c>
    </row>
    <row r="53" spans="1:33" ht="18" customHeight="1" collapsed="1" x14ac:dyDescent="0.2">
      <c r="A53" s="32"/>
      <c r="B53" s="32"/>
      <c r="C53" s="4">
        <v>0</v>
      </c>
      <c r="D53" s="4">
        <v>0</v>
      </c>
      <c r="F53" s="51" t="s">
        <v>363</v>
      </c>
      <c r="G53" s="16"/>
      <c r="H53" s="61">
        <v>0</v>
      </c>
      <c r="I53" s="61">
        <v>0</v>
      </c>
      <c r="J53" s="61">
        <v>0</v>
      </c>
      <c r="K53" s="86">
        <v>0</v>
      </c>
      <c r="L53" s="86">
        <v>0</v>
      </c>
      <c r="M53" s="61">
        <v>0</v>
      </c>
      <c r="N53" s="61">
        <v>0</v>
      </c>
      <c r="O53" s="61">
        <v>0</v>
      </c>
      <c r="P53" s="61">
        <v>0</v>
      </c>
      <c r="Q53" s="61">
        <v>0</v>
      </c>
      <c r="R53" s="61">
        <v>0</v>
      </c>
      <c r="S53" s="61">
        <v>0</v>
      </c>
      <c r="T53" s="61">
        <v>0</v>
      </c>
      <c r="U53" s="61">
        <v>0</v>
      </c>
      <c r="V53" s="61">
        <v>0</v>
      </c>
      <c r="W53" s="61">
        <v>0</v>
      </c>
      <c r="X53" s="61">
        <v>0</v>
      </c>
      <c r="Y53" s="61">
        <v>0</v>
      </c>
      <c r="Z53" s="16"/>
      <c r="AA53" s="61">
        <v>0</v>
      </c>
      <c r="AB53" s="60">
        <v>0</v>
      </c>
      <c r="AC53" s="34"/>
      <c r="AD53" s="61">
        <v>0</v>
      </c>
      <c r="AE53" s="60">
        <v>0</v>
      </c>
      <c r="AG53" s="48"/>
    </row>
    <row r="54" spans="1:33" ht="18" customHeight="1" x14ac:dyDescent="0.2">
      <c r="A54" s="30" t="s">
        <v>311</v>
      </c>
      <c r="B54" s="30" t="s">
        <v>17</v>
      </c>
      <c r="C54" s="4">
        <v>0</v>
      </c>
      <c r="D54" s="4">
        <v>0</v>
      </c>
      <c r="F54" s="51" t="s">
        <v>374</v>
      </c>
      <c r="G54" s="16"/>
      <c r="H54" s="61">
        <v>0</v>
      </c>
      <c r="I54" s="61">
        <v>0</v>
      </c>
      <c r="J54" s="61">
        <v>0</v>
      </c>
      <c r="K54" s="86">
        <v>0</v>
      </c>
      <c r="L54" s="86">
        <v>0</v>
      </c>
      <c r="M54" s="61">
        <v>0</v>
      </c>
      <c r="N54" s="61">
        <v>0</v>
      </c>
      <c r="O54" s="61">
        <v>0</v>
      </c>
      <c r="P54" s="61">
        <v>0</v>
      </c>
      <c r="Q54" s="61">
        <v>0</v>
      </c>
      <c r="R54" s="61">
        <v>0</v>
      </c>
      <c r="S54" s="61">
        <v>0</v>
      </c>
      <c r="T54" s="61">
        <v>0</v>
      </c>
      <c r="U54" s="61">
        <v>0</v>
      </c>
      <c r="V54" s="61">
        <v>0</v>
      </c>
      <c r="W54" s="61">
        <v>0</v>
      </c>
      <c r="X54" s="61">
        <v>0</v>
      </c>
      <c r="Y54" s="61">
        <v>0</v>
      </c>
      <c r="Z54" s="16"/>
      <c r="AA54" s="61">
        <v>0</v>
      </c>
      <c r="AB54" s="60">
        <v>0</v>
      </c>
      <c r="AD54" s="61">
        <v>0</v>
      </c>
      <c r="AE54" s="60">
        <v>0</v>
      </c>
    </row>
    <row r="55" spans="1:33" ht="18" customHeight="1" x14ac:dyDescent="0.2">
      <c r="A55" s="32"/>
      <c r="B55" s="32"/>
      <c r="C55" s="5">
        <v>0</v>
      </c>
      <c r="D55" s="5">
        <v>0</v>
      </c>
      <c r="F55" s="118" t="s">
        <v>375</v>
      </c>
      <c r="G55" s="16"/>
      <c r="H55" s="120">
        <v>20.412999999999997</v>
      </c>
      <c r="I55" s="120">
        <v>45.271000000000001</v>
      </c>
      <c r="J55" s="120">
        <v>45.271000000000001</v>
      </c>
      <c r="K55" s="121">
        <v>0</v>
      </c>
      <c r="L55" s="121">
        <v>0</v>
      </c>
      <c r="M55" s="120">
        <v>0</v>
      </c>
      <c r="N55" s="120">
        <v>0</v>
      </c>
      <c r="O55" s="120">
        <v>0</v>
      </c>
      <c r="P55" s="120">
        <v>0</v>
      </c>
      <c r="Q55" s="120">
        <v>0</v>
      </c>
      <c r="R55" s="120">
        <v>0</v>
      </c>
      <c r="S55" s="120">
        <v>0</v>
      </c>
      <c r="T55" s="120">
        <v>0</v>
      </c>
      <c r="U55" s="120">
        <v>0</v>
      </c>
      <c r="V55" s="120">
        <v>0</v>
      </c>
      <c r="W55" s="120">
        <v>0</v>
      </c>
      <c r="X55" s="120">
        <v>0</v>
      </c>
      <c r="Y55" s="120">
        <v>0</v>
      </c>
      <c r="Z55" s="16"/>
      <c r="AA55" s="120">
        <v>0</v>
      </c>
      <c r="AB55" s="60">
        <v>0</v>
      </c>
      <c r="AC55" s="7"/>
      <c r="AD55" s="120">
        <v>0</v>
      </c>
      <c r="AE55" s="60">
        <v>0</v>
      </c>
    </row>
    <row r="56" spans="1:33" ht="8.25" customHeight="1" x14ac:dyDescent="0.2">
      <c r="A56" s="116"/>
      <c r="F56" s="8"/>
      <c r="G56" s="16"/>
      <c r="K56" s="8"/>
      <c r="L56" s="8"/>
      <c r="Z56" s="16"/>
      <c r="AB56" s="8"/>
      <c r="AE56" s="8"/>
    </row>
    <row r="57" spans="1:33" ht="18" customHeight="1" x14ac:dyDescent="0.2">
      <c r="A57" s="30" t="s">
        <v>313</v>
      </c>
      <c r="B57" s="30" t="s">
        <v>17</v>
      </c>
      <c r="C57" s="4">
        <v>0</v>
      </c>
      <c r="D57" s="4">
        <v>0</v>
      </c>
      <c r="F57" s="51" t="s">
        <v>312</v>
      </c>
      <c r="G57" s="16"/>
      <c r="H57" s="61">
        <v>0</v>
      </c>
      <c r="I57" s="61">
        <v>0</v>
      </c>
      <c r="J57" s="61">
        <v>0</v>
      </c>
      <c r="K57" s="86">
        <v>0</v>
      </c>
      <c r="L57" s="86">
        <v>0</v>
      </c>
      <c r="M57" s="61">
        <v>0</v>
      </c>
      <c r="N57" s="61">
        <v>0</v>
      </c>
      <c r="O57" s="61">
        <v>0</v>
      </c>
      <c r="P57" s="61">
        <v>0</v>
      </c>
      <c r="Q57" s="61">
        <v>0</v>
      </c>
      <c r="R57" s="61">
        <v>0</v>
      </c>
      <c r="S57" s="61">
        <v>0</v>
      </c>
      <c r="T57" s="61">
        <v>0</v>
      </c>
      <c r="U57" s="61">
        <v>0</v>
      </c>
      <c r="V57" s="61">
        <v>0</v>
      </c>
      <c r="W57" s="61">
        <v>0</v>
      </c>
      <c r="X57" s="61">
        <v>0</v>
      </c>
      <c r="Y57" s="61">
        <v>0</v>
      </c>
      <c r="Z57" s="16"/>
      <c r="AA57" s="61">
        <v>0</v>
      </c>
      <c r="AB57" s="60">
        <v>0</v>
      </c>
      <c r="AD57" s="61">
        <v>0</v>
      </c>
      <c r="AE57" s="60">
        <v>0</v>
      </c>
    </row>
    <row r="58" spans="1:33" ht="8.25" customHeight="1" x14ac:dyDescent="0.2">
      <c r="A58" s="116"/>
      <c r="F58" s="8"/>
      <c r="G58" s="16"/>
      <c r="K58" s="8"/>
      <c r="L58" s="8"/>
      <c r="Z58" s="16"/>
      <c r="AB58" s="8"/>
      <c r="AE58" s="8"/>
    </row>
    <row r="59" spans="1:33" s="7" customFormat="1" ht="18" customHeight="1" x14ac:dyDescent="0.2">
      <c r="A59" s="30" t="s">
        <v>299</v>
      </c>
      <c r="B59" s="30" t="s">
        <v>17</v>
      </c>
      <c r="C59" s="4">
        <v>0.99930118798043321</v>
      </c>
      <c r="D59" s="4">
        <v>0.99930118798043321</v>
      </c>
      <c r="E59" s="8"/>
      <c r="F59" s="45" t="s">
        <v>376</v>
      </c>
      <c r="G59" s="16"/>
      <c r="H59" s="62">
        <v>444.42</v>
      </c>
      <c r="I59" s="62">
        <v>112.864</v>
      </c>
      <c r="J59" s="62">
        <v>112.864</v>
      </c>
      <c r="K59" s="108">
        <v>0</v>
      </c>
      <c r="L59" s="108">
        <v>0</v>
      </c>
      <c r="M59" s="62">
        <v>0</v>
      </c>
      <c r="N59" s="62">
        <v>0.499</v>
      </c>
      <c r="O59" s="62">
        <v>0</v>
      </c>
      <c r="P59" s="62">
        <v>0</v>
      </c>
      <c r="Q59" s="62">
        <v>0</v>
      </c>
      <c r="R59" s="62">
        <v>0.83900000000000008</v>
      </c>
      <c r="S59" s="62">
        <v>-0.16700000000000004</v>
      </c>
      <c r="T59" s="62">
        <v>0</v>
      </c>
      <c r="U59" s="62">
        <v>0</v>
      </c>
      <c r="V59" s="62">
        <v>0</v>
      </c>
      <c r="W59" s="62">
        <v>0</v>
      </c>
      <c r="X59" s="62">
        <v>0.26</v>
      </c>
      <c r="Y59" s="62">
        <v>1.431</v>
      </c>
      <c r="Z59" s="16"/>
      <c r="AA59" s="62">
        <v>0</v>
      </c>
      <c r="AB59" s="60">
        <v>1.43</v>
      </c>
      <c r="AD59" s="62">
        <v>0</v>
      </c>
      <c r="AE59" s="60">
        <v>1.43</v>
      </c>
    </row>
    <row r="60" spans="1:33" ht="8.25" customHeight="1" x14ac:dyDescent="0.2">
      <c r="A60" s="116"/>
      <c r="F60" s="8"/>
      <c r="G60" s="16"/>
      <c r="K60" s="8"/>
      <c r="L60" s="8"/>
      <c r="Z60" s="16"/>
      <c r="AB60" s="8"/>
      <c r="AE60" s="8"/>
    </row>
    <row r="61" spans="1:33" ht="18" customHeight="1" x14ac:dyDescent="0.2">
      <c r="A61" s="35"/>
      <c r="B61" s="32"/>
      <c r="C61" s="4">
        <v>0.99930118798043321</v>
      </c>
      <c r="D61" s="4">
        <v>0.99930118798043321</v>
      </c>
      <c r="F61" s="95" t="s">
        <v>234</v>
      </c>
      <c r="G61" s="16"/>
      <c r="H61" s="64">
        <v>462.19600000000003</v>
      </c>
      <c r="I61" s="64">
        <v>112.864</v>
      </c>
      <c r="J61" s="64">
        <v>112.864</v>
      </c>
      <c r="K61" s="89">
        <v>0</v>
      </c>
      <c r="L61" s="89">
        <v>0</v>
      </c>
      <c r="M61" s="64">
        <v>0</v>
      </c>
      <c r="N61" s="64">
        <v>0.499</v>
      </c>
      <c r="O61" s="64">
        <v>0</v>
      </c>
      <c r="P61" s="64">
        <v>0</v>
      </c>
      <c r="Q61" s="64">
        <v>0</v>
      </c>
      <c r="R61" s="64">
        <v>0.83900000000000008</v>
      </c>
      <c r="S61" s="64">
        <v>-0.16700000000000004</v>
      </c>
      <c r="T61" s="64">
        <v>0</v>
      </c>
      <c r="U61" s="64">
        <v>0</v>
      </c>
      <c r="V61" s="64">
        <v>0</v>
      </c>
      <c r="W61" s="64">
        <v>0</v>
      </c>
      <c r="X61" s="64">
        <v>0.26</v>
      </c>
      <c r="Y61" s="64">
        <v>1.431</v>
      </c>
      <c r="Z61" s="16"/>
      <c r="AA61" s="64">
        <v>0</v>
      </c>
      <c r="AB61" s="60">
        <v>1.43</v>
      </c>
      <c r="AD61" s="64">
        <v>0</v>
      </c>
      <c r="AE61" s="60">
        <v>1.43</v>
      </c>
    </row>
    <row r="62" spans="1:33" ht="6.95" customHeight="1" x14ac:dyDescent="0.2">
      <c r="C62" s="4"/>
      <c r="D62" s="4"/>
      <c r="F62" s="96"/>
      <c r="G62" s="16"/>
      <c r="H62" s="16"/>
      <c r="I62" s="16"/>
      <c r="J62" s="16"/>
      <c r="K62" s="85"/>
      <c r="L62" s="85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20"/>
      <c r="AD62" s="16"/>
      <c r="AE62" s="20"/>
    </row>
    <row r="63" spans="1:33" s="36" customFormat="1" ht="18" customHeight="1" x14ac:dyDescent="0.2">
      <c r="A63" s="30" t="s">
        <v>21</v>
      </c>
      <c r="B63" s="30" t="s">
        <v>17</v>
      </c>
      <c r="C63" s="4">
        <v>0</v>
      </c>
      <c r="D63" s="4">
        <v>0</v>
      </c>
      <c r="E63" s="8"/>
      <c r="F63" s="104" t="s">
        <v>24</v>
      </c>
      <c r="G63" s="16"/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  <c r="Q63" s="65">
        <v>0</v>
      </c>
      <c r="R63" s="65">
        <v>0</v>
      </c>
      <c r="S63" s="65">
        <v>0</v>
      </c>
      <c r="T63" s="65">
        <v>0</v>
      </c>
      <c r="U63" s="65">
        <v>0</v>
      </c>
      <c r="V63" s="65">
        <v>0</v>
      </c>
      <c r="W63" s="65">
        <v>0</v>
      </c>
      <c r="X63" s="65">
        <v>0</v>
      </c>
      <c r="Y63" s="65">
        <v>0</v>
      </c>
      <c r="AA63" s="65">
        <v>0</v>
      </c>
      <c r="AB63" s="60">
        <v>0</v>
      </c>
      <c r="AD63" s="65">
        <v>0</v>
      </c>
      <c r="AE63" s="60">
        <v>0</v>
      </c>
    </row>
    <row r="64" spans="1:33" s="36" customFormat="1" ht="18" hidden="1" customHeight="1" outlineLevel="1" x14ac:dyDescent="0.2">
      <c r="A64" s="30" t="s">
        <v>119</v>
      </c>
      <c r="B64" s="30" t="s">
        <v>17</v>
      </c>
      <c r="C64" s="4">
        <v>0</v>
      </c>
      <c r="D64" s="4">
        <v>0</v>
      </c>
      <c r="E64" s="8"/>
      <c r="F64" s="38" t="s">
        <v>121</v>
      </c>
      <c r="G64" s="16"/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34"/>
      <c r="AA64" s="66">
        <v>0</v>
      </c>
      <c r="AB64" s="60">
        <v>0</v>
      </c>
      <c r="AC64" s="34"/>
      <c r="AD64" s="66">
        <v>0</v>
      </c>
      <c r="AE64" s="60">
        <v>0</v>
      </c>
    </row>
    <row r="65" spans="1:31" s="36" customFormat="1" ht="18" hidden="1" customHeight="1" outlineLevel="1" x14ac:dyDescent="0.2">
      <c r="A65" s="30" t="s">
        <v>120</v>
      </c>
      <c r="B65" s="30" t="s">
        <v>17</v>
      </c>
      <c r="C65" s="4">
        <v>0</v>
      </c>
      <c r="D65" s="4">
        <v>0</v>
      </c>
      <c r="E65" s="8"/>
      <c r="F65" s="38" t="s">
        <v>122</v>
      </c>
      <c r="G65" s="16"/>
      <c r="H65" s="66">
        <v>0</v>
      </c>
      <c r="I65" s="66">
        <v>-67.736999999999995</v>
      </c>
      <c r="J65" s="66">
        <v>-67.736999999999995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34"/>
      <c r="AA65" s="66">
        <v>0</v>
      </c>
      <c r="AB65" s="60">
        <v>0</v>
      </c>
      <c r="AC65" s="34"/>
      <c r="AD65" s="66">
        <v>0</v>
      </c>
      <c r="AE65" s="60">
        <v>0</v>
      </c>
    </row>
    <row r="66" spans="1:31" s="36" customFormat="1" ht="18" customHeight="1" collapsed="1" x14ac:dyDescent="0.2">
      <c r="A66" s="35"/>
      <c r="B66" s="35"/>
      <c r="C66" s="4">
        <v>0</v>
      </c>
      <c r="D66" s="4">
        <v>0</v>
      </c>
      <c r="E66" s="8"/>
      <c r="F66" s="104" t="s">
        <v>0</v>
      </c>
      <c r="G66" s="16"/>
      <c r="H66" s="65">
        <v>0</v>
      </c>
      <c r="I66" s="65">
        <v>-67.736999999999995</v>
      </c>
      <c r="J66" s="65">
        <v>-67.736999999999995</v>
      </c>
      <c r="K66" s="65">
        <v>0</v>
      </c>
      <c r="L66" s="65">
        <v>0</v>
      </c>
      <c r="M66" s="65">
        <v>0</v>
      </c>
      <c r="N66" s="65">
        <v>0</v>
      </c>
      <c r="O66" s="65">
        <v>0</v>
      </c>
      <c r="P66" s="65">
        <v>0</v>
      </c>
      <c r="Q66" s="65">
        <v>0</v>
      </c>
      <c r="R66" s="65">
        <v>0</v>
      </c>
      <c r="S66" s="65">
        <v>0</v>
      </c>
      <c r="T66" s="65">
        <v>0</v>
      </c>
      <c r="U66" s="65">
        <v>0</v>
      </c>
      <c r="V66" s="65">
        <v>0</v>
      </c>
      <c r="W66" s="65">
        <v>0</v>
      </c>
      <c r="X66" s="65">
        <v>0</v>
      </c>
      <c r="Y66" s="65">
        <v>0</v>
      </c>
      <c r="AA66" s="65">
        <v>0</v>
      </c>
      <c r="AB66" s="60">
        <v>0</v>
      </c>
      <c r="AD66" s="65">
        <v>0</v>
      </c>
      <c r="AE66" s="60">
        <v>0</v>
      </c>
    </row>
    <row r="67" spans="1:31" s="36" customFormat="1" ht="18" hidden="1" customHeight="1" outlineLevel="1" x14ac:dyDescent="0.2">
      <c r="A67" s="30" t="s">
        <v>131</v>
      </c>
      <c r="B67" s="30" t="s">
        <v>17</v>
      </c>
      <c r="C67" s="4">
        <v>0</v>
      </c>
      <c r="D67" s="4">
        <v>0</v>
      </c>
      <c r="E67" s="8"/>
      <c r="F67" s="38" t="s">
        <v>132</v>
      </c>
      <c r="G67" s="16"/>
      <c r="H67" s="66">
        <v>0</v>
      </c>
      <c r="I67" s="66">
        <v>0</v>
      </c>
      <c r="J67" s="66">
        <v>0</v>
      </c>
      <c r="K67" s="86">
        <v>0</v>
      </c>
      <c r="L67" s="8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34"/>
      <c r="AA67" s="66">
        <v>0</v>
      </c>
      <c r="AB67" s="60">
        <v>0</v>
      </c>
      <c r="AC67" s="34"/>
      <c r="AD67" s="66">
        <v>0</v>
      </c>
      <c r="AE67" s="60">
        <v>0</v>
      </c>
    </row>
    <row r="68" spans="1:31" s="36" customFormat="1" ht="18" hidden="1" customHeight="1" outlineLevel="1" x14ac:dyDescent="0.2">
      <c r="A68" s="30" t="s">
        <v>134</v>
      </c>
      <c r="B68" s="30" t="s">
        <v>17</v>
      </c>
      <c r="C68" s="4">
        <v>0</v>
      </c>
      <c r="D68" s="4">
        <v>0</v>
      </c>
      <c r="E68" s="8"/>
      <c r="F68" s="38" t="s">
        <v>133</v>
      </c>
      <c r="G68" s="16"/>
      <c r="H68" s="66">
        <v>0</v>
      </c>
      <c r="I68" s="66">
        <v>0</v>
      </c>
      <c r="J68" s="66">
        <v>0</v>
      </c>
      <c r="K68" s="86">
        <v>0</v>
      </c>
      <c r="L68" s="8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34"/>
      <c r="AA68" s="66">
        <v>0</v>
      </c>
      <c r="AB68" s="60">
        <v>0</v>
      </c>
      <c r="AC68" s="34"/>
      <c r="AD68" s="66">
        <v>0</v>
      </c>
      <c r="AE68" s="60">
        <v>0</v>
      </c>
    </row>
    <row r="69" spans="1:31" s="36" customFormat="1" ht="18" hidden="1" customHeight="1" outlineLevel="1" x14ac:dyDescent="0.2">
      <c r="A69" s="30" t="s">
        <v>135</v>
      </c>
      <c r="B69" s="30" t="s">
        <v>17</v>
      </c>
      <c r="C69" s="4">
        <v>0</v>
      </c>
      <c r="D69" s="4">
        <v>0</v>
      </c>
      <c r="E69" s="8"/>
      <c r="F69" s="38" t="s">
        <v>136</v>
      </c>
      <c r="G69" s="16"/>
      <c r="H69" s="66">
        <v>0</v>
      </c>
      <c r="I69" s="66">
        <v>0</v>
      </c>
      <c r="J69" s="66">
        <v>0</v>
      </c>
      <c r="K69" s="86">
        <v>0</v>
      </c>
      <c r="L69" s="8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34"/>
      <c r="AA69" s="66">
        <v>0</v>
      </c>
      <c r="AB69" s="60">
        <v>0</v>
      </c>
      <c r="AC69" s="34"/>
      <c r="AD69" s="66">
        <v>0</v>
      </c>
      <c r="AE69" s="60">
        <v>0</v>
      </c>
    </row>
    <row r="70" spans="1:31" s="36" customFormat="1" ht="18" hidden="1" customHeight="1" outlineLevel="1" x14ac:dyDescent="0.2">
      <c r="A70" s="30" t="s">
        <v>137</v>
      </c>
      <c r="B70" s="30" t="s">
        <v>17</v>
      </c>
      <c r="C70" s="4">
        <v>0</v>
      </c>
      <c r="D70" s="4">
        <v>0</v>
      </c>
      <c r="E70" s="8"/>
      <c r="F70" s="38" t="s">
        <v>138</v>
      </c>
      <c r="G70" s="16"/>
      <c r="H70" s="66">
        <v>0</v>
      </c>
      <c r="I70" s="66">
        <v>3.5000000000000003E-2</v>
      </c>
      <c r="J70" s="66">
        <v>3.5000000000000003E-2</v>
      </c>
      <c r="K70" s="86">
        <v>0</v>
      </c>
      <c r="L70" s="8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34"/>
      <c r="AA70" s="66">
        <v>0</v>
      </c>
      <c r="AB70" s="60">
        <v>0</v>
      </c>
      <c r="AC70" s="34"/>
      <c r="AD70" s="66">
        <v>0</v>
      </c>
      <c r="AE70" s="60">
        <v>0</v>
      </c>
    </row>
    <row r="71" spans="1:31" s="37" customFormat="1" ht="18" customHeight="1" collapsed="1" x14ac:dyDescent="0.2">
      <c r="A71" s="35"/>
      <c r="B71" s="35"/>
      <c r="C71" s="4">
        <v>0</v>
      </c>
      <c r="D71" s="4">
        <v>0</v>
      </c>
      <c r="E71" s="8"/>
      <c r="F71" s="105" t="s">
        <v>274</v>
      </c>
      <c r="G71" s="16"/>
      <c r="H71" s="67">
        <v>0</v>
      </c>
      <c r="I71" s="67">
        <v>3.5000000000000003E-2</v>
      </c>
      <c r="J71" s="67">
        <v>3.5000000000000003E-2</v>
      </c>
      <c r="K71" s="67">
        <v>0</v>
      </c>
      <c r="L71" s="67">
        <v>0</v>
      </c>
      <c r="M71" s="67">
        <v>0</v>
      </c>
      <c r="N71" s="67">
        <v>0</v>
      </c>
      <c r="O71" s="67">
        <v>0</v>
      </c>
      <c r="P71" s="67">
        <v>0</v>
      </c>
      <c r="Q71" s="67">
        <v>0</v>
      </c>
      <c r="R71" s="67">
        <v>0</v>
      </c>
      <c r="S71" s="67">
        <v>0</v>
      </c>
      <c r="T71" s="67">
        <v>0</v>
      </c>
      <c r="U71" s="67">
        <v>0</v>
      </c>
      <c r="V71" s="67">
        <v>0</v>
      </c>
      <c r="W71" s="67">
        <v>0</v>
      </c>
      <c r="X71" s="67">
        <v>0</v>
      </c>
      <c r="Y71" s="67">
        <v>0</v>
      </c>
      <c r="AA71" s="67">
        <v>0</v>
      </c>
      <c r="AB71" s="60">
        <v>0</v>
      </c>
      <c r="AD71" s="67">
        <v>0</v>
      </c>
      <c r="AE71" s="60">
        <v>0</v>
      </c>
    </row>
    <row r="72" spans="1:31" ht="6.95" customHeight="1" x14ac:dyDescent="0.2">
      <c r="C72" s="4"/>
      <c r="D72" s="4"/>
      <c r="F72" s="96"/>
      <c r="G72" s="16"/>
      <c r="H72" s="16"/>
      <c r="I72" s="16"/>
      <c r="J72" s="16"/>
      <c r="K72" s="85"/>
      <c r="L72" s="8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AA72" s="16"/>
      <c r="AB72" s="20"/>
      <c r="AD72" s="16"/>
      <c r="AE72" s="20"/>
    </row>
    <row r="73" spans="1:31" s="7" customFormat="1" ht="18" customHeight="1" x14ac:dyDescent="0.2">
      <c r="A73" s="276" t="s">
        <v>299</v>
      </c>
      <c r="B73" s="276" t="s">
        <v>17</v>
      </c>
      <c r="C73" s="252">
        <v>0.99930118798043321</v>
      </c>
      <c r="D73" s="252">
        <v>0.99930118798043321</v>
      </c>
      <c r="E73" s="253"/>
      <c r="F73" s="278" t="s">
        <v>448</v>
      </c>
      <c r="G73" s="16"/>
      <c r="H73" s="62">
        <v>462.19600000000003</v>
      </c>
      <c r="I73" s="62">
        <v>45.162000000000006</v>
      </c>
      <c r="J73" s="62">
        <v>45.162000000000006</v>
      </c>
      <c r="K73" s="108">
        <v>0</v>
      </c>
      <c r="L73" s="108">
        <v>0</v>
      </c>
      <c r="M73" s="62">
        <v>0</v>
      </c>
      <c r="N73" s="62">
        <v>0.499</v>
      </c>
      <c r="O73" s="62">
        <v>0</v>
      </c>
      <c r="P73" s="62">
        <v>0</v>
      </c>
      <c r="Q73" s="62">
        <v>0</v>
      </c>
      <c r="R73" s="62">
        <v>0.83900000000000008</v>
      </c>
      <c r="S73" s="62">
        <v>-0.16700000000000004</v>
      </c>
      <c r="T73" s="62">
        <v>0</v>
      </c>
      <c r="U73" s="62">
        <v>0</v>
      </c>
      <c r="V73" s="62">
        <v>0</v>
      </c>
      <c r="W73" s="62">
        <v>0</v>
      </c>
      <c r="X73" s="62">
        <v>0.26</v>
      </c>
      <c r="Y73" s="62">
        <v>1.431</v>
      </c>
      <c r="Z73" s="16"/>
      <c r="AA73" s="62">
        <v>0</v>
      </c>
      <c r="AB73" s="256">
        <v>1.43</v>
      </c>
      <c r="AD73" s="62">
        <v>0</v>
      </c>
      <c r="AE73" s="256">
        <v>1.43</v>
      </c>
    </row>
    <row r="74" spans="1:31" s="253" customFormat="1" ht="8.25" customHeight="1" x14ac:dyDescent="0.2">
      <c r="A74" s="116"/>
      <c r="G74" s="16"/>
      <c r="Z74" s="16"/>
    </row>
    <row r="75" spans="1:31" ht="18" customHeight="1" x14ac:dyDescent="0.2">
      <c r="A75" s="30" t="s">
        <v>206</v>
      </c>
      <c r="B75" s="30" t="s">
        <v>38</v>
      </c>
      <c r="C75" s="4">
        <v>0</v>
      </c>
      <c r="D75" s="4">
        <v>0</v>
      </c>
      <c r="F75" s="106" t="s">
        <v>377</v>
      </c>
      <c r="H75" s="61">
        <v>0</v>
      </c>
      <c r="I75" s="61">
        <v>0</v>
      </c>
      <c r="J75" s="61">
        <v>0</v>
      </c>
      <c r="K75" s="86">
        <v>0</v>
      </c>
      <c r="L75" s="86">
        <v>0</v>
      </c>
      <c r="M75" s="61">
        <v>0</v>
      </c>
      <c r="N75" s="61">
        <v>0</v>
      </c>
      <c r="O75" s="61">
        <v>0</v>
      </c>
      <c r="P75" s="61">
        <v>0</v>
      </c>
      <c r="Q75" s="61">
        <v>0</v>
      </c>
      <c r="R75" s="61">
        <v>0</v>
      </c>
      <c r="S75" s="61">
        <v>0</v>
      </c>
      <c r="T75" s="61">
        <v>0</v>
      </c>
      <c r="U75" s="61">
        <v>0</v>
      </c>
      <c r="V75" s="61">
        <v>0</v>
      </c>
      <c r="W75" s="61">
        <v>0</v>
      </c>
      <c r="X75" s="61">
        <v>0</v>
      </c>
      <c r="Y75" s="61">
        <v>0</v>
      </c>
      <c r="AA75" s="61">
        <v>0</v>
      </c>
      <c r="AB75" s="60">
        <v>0</v>
      </c>
      <c r="AD75" s="61">
        <v>0</v>
      </c>
      <c r="AE75" s="60">
        <v>0</v>
      </c>
    </row>
    <row r="76" spans="1:31" ht="18" customHeight="1" x14ac:dyDescent="0.2">
      <c r="A76" s="30" t="s">
        <v>42</v>
      </c>
      <c r="B76" s="30" t="s">
        <v>17</v>
      </c>
      <c r="C76" s="4">
        <v>0</v>
      </c>
      <c r="D76" s="4">
        <v>0</v>
      </c>
      <c r="F76" s="106" t="s">
        <v>207</v>
      </c>
      <c r="H76" s="61">
        <v>0</v>
      </c>
      <c r="I76" s="61">
        <v>0</v>
      </c>
      <c r="J76" s="61">
        <v>0</v>
      </c>
      <c r="K76" s="86">
        <v>0</v>
      </c>
      <c r="L76" s="86">
        <v>0</v>
      </c>
      <c r="M76" s="61">
        <v>0</v>
      </c>
      <c r="N76" s="61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AA76" s="61">
        <v>0</v>
      </c>
      <c r="AB76" s="60">
        <v>0</v>
      </c>
      <c r="AD76" s="61">
        <v>0</v>
      </c>
      <c r="AE76" s="60">
        <v>0</v>
      </c>
    </row>
    <row r="77" spans="1:31" ht="18" customHeight="1" collapsed="1" x14ac:dyDescent="0.2">
      <c r="A77" s="35"/>
      <c r="B77" s="35"/>
      <c r="C77" s="4">
        <v>0</v>
      </c>
      <c r="D77" s="4">
        <v>0</v>
      </c>
      <c r="F77" s="45" t="s">
        <v>41</v>
      </c>
      <c r="H77" s="62">
        <v>0</v>
      </c>
      <c r="I77" s="62">
        <v>0</v>
      </c>
      <c r="J77" s="62">
        <v>0</v>
      </c>
      <c r="K77" s="108">
        <v>0</v>
      </c>
      <c r="L77" s="108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AA77" s="62">
        <v>0</v>
      </c>
      <c r="AB77" s="60">
        <v>0</v>
      </c>
      <c r="AD77" s="62">
        <v>0</v>
      </c>
      <c r="AE77" s="60">
        <v>0</v>
      </c>
    </row>
    <row r="78" spans="1:31" ht="12.95" customHeight="1" x14ac:dyDescent="0.2">
      <c r="A78" s="35"/>
      <c r="B78" s="35"/>
      <c r="C78" s="4"/>
      <c r="D78" s="4"/>
      <c r="F78" s="39" t="s">
        <v>227</v>
      </c>
      <c r="H78" s="56">
        <v>0</v>
      </c>
      <c r="I78" s="56">
        <v>0</v>
      </c>
      <c r="J78" s="56">
        <v>0</v>
      </c>
      <c r="K78" s="109">
        <v>0</v>
      </c>
      <c r="L78" s="109">
        <v>0</v>
      </c>
      <c r="M78" s="56">
        <v>0</v>
      </c>
      <c r="N78" s="56">
        <v>0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0</v>
      </c>
      <c r="AA78" s="56">
        <v>0</v>
      </c>
      <c r="AB78" s="57"/>
      <c r="AD78" s="56">
        <v>0</v>
      </c>
      <c r="AE78" s="57"/>
    </row>
    <row r="79" spans="1:31" ht="18" customHeight="1" x14ac:dyDescent="0.2">
      <c r="A79" s="30" t="s">
        <v>39</v>
      </c>
      <c r="B79" s="30" t="s">
        <v>17</v>
      </c>
      <c r="C79" s="4">
        <v>0</v>
      </c>
      <c r="D79" s="4">
        <v>0</v>
      </c>
      <c r="F79" s="45" t="s">
        <v>40</v>
      </c>
      <c r="H79" s="62">
        <v>0</v>
      </c>
      <c r="I79" s="62">
        <v>0</v>
      </c>
      <c r="J79" s="62">
        <v>0</v>
      </c>
      <c r="K79" s="108">
        <v>0</v>
      </c>
      <c r="L79" s="108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0</v>
      </c>
      <c r="V79" s="62">
        <v>0</v>
      </c>
      <c r="W79" s="62">
        <v>0</v>
      </c>
      <c r="X79" s="62">
        <v>0</v>
      </c>
      <c r="Y79" s="62">
        <v>0</v>
      </c>
      <c r="AA79" s="62">
        <v>0</v>
      </c>
      <c r="AB79" s="60">
        <v>0</v>
      </c>
      <c r="AD79" s="62">
        <v>0</v>
      </c>
      <c r="AE79" s="60">
        <v>0</v>
      </c>
    </row>
    <row r="80" spans="1:31" ht="12.95" customHeight="1" x14ac:dyDescent="0.2">
      <c r="A80" s="35"/>
      <c r="B80" s="35"/>
      <c r="C80" s="4"/>
      <c r="D80" s="4"/>
      <c r="F80" s="39" t="s">
        <v>228</v>
      </c>
      <c r="H80" s="56">
        <v>0</v>
      </c>
      <c r="I80" s="56">
        <v>0</v>
      </c>
      <c r="J80" s="56">
        <v>0</v>
      </c>
      <c r="K80" s="109">
        <v>0</v>
      </c>
      <c r="L80" s="109">
        <v>0</v>
      </c>
      <c r="M80" s="56">
        <v>0</v>
      </c>
      <c r="N80" s="56">
        <v>0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AA80" s="56">
        <v>0</v>
      </c>
      <c r="AB80" s="57"/>
      <c r="AD80" s="56">
        <v>0</v>
      </c>
      <c r="AE80" s="57"/>
    </row>
    <row r="81" spans="1:31" ht="18" hidden="1" customHeight="1" outlineLevel="1" x14ac:dyDescent="0.2">
      <c r="A81" s="30" t="s">
        <v>209</v>
      </c>
      <c r="B81" s="30" t="s">
        <v>17</v>
      </c>
      <c r="C81" s="4">
        <v>0</v>
      </c>
      <c r="D81" s="4">
        <v>0</v>
      </c>
      <c r="F81" s="106" t="s">
        <v>210</v>
      </c>
      <c r="H81" s="61">
        <v>0</v>
      </c>
      <c r="I81" s="61">
        <v>0</v>
      </c>
      <c r="J81" s="61">
        <v>0</v>
      </c>
      <c r="K81" s="86">
        <v>0</v>
      </c>
      <c r="L81" s="86">
        <v>0</v>
      </c>
      <c r="M81" s="61">
        <v>0</v>
      </c>
      <c r="N81" s="61">
        <v>0</v>
      </c>
      <c r="O81" s="61">
        <v>0</v>
      </c>
      <c r="P81" s="61">
        <v>0</v>
      </c>
      <c r="Q81" s="61">
        <v>0</v>
      </c>
      <c r="R81" s="61">
        <v>0</v>
      </c>
      <c r="S81" s="61">
        <v>0</v>
      </c>
      <c r="T81" s="61">
        <v>0</v>
      </c>
      <c r="U81" s="61">
        <v>0</v>
      </c>
      <c r="V81" s="61">
        <v>0</v>
      </c>
      <c r="W81" s="61">
        <v>0</v>
      </c>
      <c r="X81" s="61">
        <v>0</v>
      </c>
      <c r="Y81" s="61">
        <v>0</v>
      </c>
      <c r="AA81" s="61">
        <v>0</v>
      </c>
      <c r="AB81" s="60">
        <v>0</v>
      </c>
      <c r="AD81" s="61">
        <v>0</v>
      </c>
      <c r="AE81" s="60">
        <v>0</v>
      </c>
    </row>
    <row r="82" spans="1:31" ht="18" hidden="1" customHeight="1" outlineLevel="1" x14ac:dyDescent="0.2">
      <c r="A82" s="30" t="s">
        <v>206</v>
      </c>
      <c r="B82" s="30" t="s">
        <v>205</v>
      </c>
      <c r="C82" s="4">
        <v>0</v>
      </c>
      <c r="D82" s="4">
        <v>0</v>
      </c>
      <c r="F82" s="106" t="s">
        <v>208</v>
      </c>
      <c r="H82" s="61">
        <v>-103.78100000000001</v>
      </c>
      <c r="I82" s="61">
        <v>-71.260000000000005</v>
      </c>
      <c r="J82" s="61">
        <v>-71.260000000000005</v>
      </c>
      <c r="K82" s="86">
        <v>0</v>
      </c>
      <c r="L82" s="86">
        <v>0</v>
      </c>
      <c r="M82" s="61">
        <v>0</v>
      </c>
      <c r="N82" s="61">
        <v>0</v>
      </c>
      <c r="O82" s="61">
        <v>0</v>
      </c>
      <c r="P82" s="61">
        <v>0</v>
      </c>
      <c r="Q82" s="61">
        <v>0</v>
      </c>
      <c r="R82" s="61">
        <v>0</v>
      </c>
      <c r="S82" s="61">
        <v>0</v>
      </c>
      <c r="T82" s="61">
        <v>0</v>
      </c>
      <c r="U82" s="61">
        <v>0</v>
      </c>
      <c r="V82" s="61">
        <v>0</v>
      </c>
      <c r="W82" s="61">
        <v>0</v>
      </c>
      <c r="X82" s="61">
        <v>0</v>
      </c>
      <c r="Y82" s="61">
        <v>0</v>
      </c>
      <c r="AA82" s="61">
        <v>0</v>
      </c>
      <c r="AB82" s="60">
        <v>0</v>
      </c>
      <c r="AD82" s="61">
        <v>0</v>
      </c>
      <c r="AE82" s="60">
        <v>0</v>
      </c>
    </row>
    <row r="83" spans="1:31" ht="18" customHeight="1" collapsed="1" x14ac:dyDescent="0.2">
      <c r="A83" s="35"/>
      <c r="B83" s="35"/>
      <c r="C83" s="4">
        <v>0</v>
      </c>
      <c r="D83" s="4">
        <v>0</v>
      </c>
      <c r="F83" s="45" t="s">
        <v>314</v>
      </c>
      <c r="H83" s="62">
        <v>-103.78100000000001</v>
      </c>
      <c r="I83" s="62">
        <v>-71.260000000000005</v>
      </c>
      <c r="J83" s="62">
        <v>-71.260000000000005</v>
      </c>
      <c r="K83" s="108">
        <v>0</v>
      </c>
      <c r="L83" s="108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AA83" s="62">
        <v>0</v>
      </c>
      <c r="AB83" s="60">
        <v>0</v>
      </c>
      <c r="AD83" s="62">
        <v>0</v>
      </c>
      <c r="AE83" s="60">
        <v>0</v>
      </c>
    </row>
    <row r="84" spans="1:31" ht="12.95" customHeight="1" x14ac:dyDescent="0.2">
      <c r="A84" s="35"/>
      <c r="B84" s="35"/>
      <c r="C84" s="4"/>
      <c r="D84" s="4"/>
      <c r="F84" s="39" t="s">
        <v>222</v>
      </c>
      <c r="H84" s="56">
        <v>0.23352009360514828</v>
      </c>
      <c r="I84" s="56">
        <v>0.63137935922880639</v>
      </c>
      <c r="J84" s="56">
        <v>0.63137935922880639</v>
      </c>
      <c r="K84" s="109">
        <v>0</v>
      </c>
      <c r="L84" s="109">
        <v>0</v>
      </c>
      <c r="M84" s="56">
        <v>0</v>
      </c>
      <c r="N84" s="56">
        <v>0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0</v>
      </c>
      <c r="AA84" s="56">
        <v>0</v>
      </c>
      <c r="AB84" s="57"/>
      <c r="AD84" s="56">
        <v>0</v>
      </c>
      <c r="AE84" s="57"/>
    </row>
    <row r="85" spans="1:31" ht="18" hidden="1" customHeight="1" outlineLevel="2" x14ac:dyDescent="0.2">
      <c r="A85" s="33" t="s">
        <v>43</v>
      </c>
      <c r="B85" s="33" t="s">
        <v>17</v>
      </c>
      <c r="C85" s="4"/>
      <c r="D85" s="4"/>
      <c r="F85" s="38" t="s">
        <v>44</v>
      </c>
      <c r="H85" s="66">
        <v>0</v>
      </c>
      <c r="I85" s="66">
        <v>0</v>
      </c>
      <c r="J85" s="66">
        <v>0</v>
      </c>
      <c r="K85" s="86"/>
      <c r="L85" s="86"/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AA85" s="70"/>
      <c r="AB85" s="71"/>
      <c r="AD85" s="70"/>
      <c r="AE85" s="71"/>
    </row>
    <row r="86" spans="1:31" ht="18" hidden="1" customHeight="1" outlineLevel="2" x14ac:dyDescent="0.2">
      <c r="A86" s="33" t="s">
        <v>43</v>
      </c>
      <c r="B86" s="33" t="s">
        <v>17</v>
      </c>
      <c r="C86" s="4"/>
      <c r="D86" s="4"/>
      <c r="F86" s="38" t="s">
        <v>45</v>
      </c>
      <c r="H86" s="66">
        <v>0</v>
      </c>
      <c r="I86" s="66">
        <v>0</v>
      </c>
      <c r="J86" s="66">
        <v>0</v>
      </c>
      <c r="K86" s="86"/>
      <c r="L86" s="86"/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AA86" s="70"/>
      <c r="AB86" s="71"/>
      <c r="AD86" s="70"/>
      <c r="AE86" s="71"/>
    </row>
    <row r="87" spans="1:31" ht="18" hidden="1" customHeight="1" outlineLevel="2" x14ac:dyDescent="0.2">
      <c r="A87" s="33" t="s">
        <v>46</v>
      </c>
      <c r="B87" s="33" t="s">
        <v>17</v>
      </c>
      <c r="C87" s="4">
        <v>0</v>
      </c>
      <c r="D87" s="4">
        <v>0</v>
      </c>
      <c r="F87" s="38" t="s">
        <v>47</v>
      </c>
      <c r="H87" s="66">
        <v>0</v>
      </c>
      <c r="I87" s="66">
        <v>0</v>
      </c>
      <c r="J87" s="66">
        <v>0</v>
      </c>
      <c r="K87" s="86">
        <v>0</v>
      </c>
      <c r="L87" s="8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AA87" s="66">
        <v>0</v>
      </c>
      <c r="AB87" s="65">
        <v>0</v>
      </c>
      <c r="AD87" s="66">
        <v>0</v>
      </c>
      <c r="AE87" s="65">
        <v>0</v>
      </c>
    </row>
    <row r="88" spans="1:31" ht="18" hidden="1" customHeight="1" outlineLevel="1" x14ac:dyDescent="0.2">
      <c r="A88" s="35"/>
      <c r="B88" s="35"/>
      <c r="C88" s="4">
        <v>0</v>
      </c>
      <c r="D88" s="4">
        <v>0</v>
      </c>
      <c r="F88" s="106" t="s">
        <v>48</v>
      </c>
      <c r="H88" s="61">
        <v>0</v>
      </c>
      <c r="I88" s="61">
        <v>0</v>
      </c>
      <c r="J88" s="61">
        <v>0</v>
      </c>
      <c r="K88" s="86">
        <v>0</v>
      </c>
      <c r="L88" s="86">
        <v>0</v>
      </c>
      <c r="M88" s="61">
        <v>0</v>
      </c>
      <c r="N88" s="61">
        <v>0</v>
      </c>
      <c r="O88" s="61">
        <v>0</v>
      </c>
      <c r="P88" s="61">
        <v>0</v>
      </c>
      <c r="Q88" s="61">
        <v>0</v>
      </c>
      <c r="R88" s="61">
        <v>0</v>
      </c>
      <c r="S88" s="61">
        <v>0</v>
      </c>
      <c r="T88" s="61">
        <v>0</v>
      </c>
      <c r="U88" s="61">
        <v>0</v>
      </c>
      <c r="V88" s="61">
        <v>0</v>
      </c>
      <c r="W88" s="61">
        <v>0</v>
      </c>
      <c r="X88" s="61">
        <v>0</v>
      </c>
      <c r="Y88" s="61">
        <v>0</v>
      </c>
      <c r="AA88" s="61">
        <v>0</v>
      </c>
      <c r="AB88" s="60">
        <v>0</v>
      </c>
      <c r="AD88" s="61">
        <v>0</v>
      </c>
      <c r="AE88" s="60">
        <v>0</v>
      </c>
    </row>
    <row r="89" spans="1:31" ht="18" hidden="1" customHeight="1" outlineLevel="1" x14ac:dyDescent="0.2">
      <c r="A89" s="30" t="s">
        <v>50</v>
      </c>
      <c r="B89" s="30" t="s">
        <v>17</v>
      </c>
      <c r="C89" s="4">
        <v>0</v>
      </c>
      <c r="D89" s="4">
        <v>0</v>
      </c>
      <c r="F89" s="106" t="s">
        <v>52</v>
      </c>
      <c r="H89" s="61">
        <v>0</v>
      </c>
      <c r="I89" s="61">
        <v>0</v>
      </c>
      <c r="J89" s="61">
        <v>0</v>
      </c>
      <c r="K89" s="86">
        <v>0</v>
      </c>
      <c r="L89" s="86">
        <v>0</v>
      </c>
      <c r="M89" s="61">
        <v>0</v>
      </c>
      <c r="N89" s="61">
        <v>0</v>
      </c>
      <c r="O89" s="61">
        <v>0</v>
      </c>
      <c r="P89" s="61">
        <v>0</v>
      </c>
      <c r="Q89" s="61">
        <v>0</v>
      </c>
      <c r="R89" s="61">
        <v>0</v>
      </c>
      <c r="S89" s="61">
        <v>0</v>
      </c>
      <c r="T89" s="61">
        <v>0</v>
      </c>
      <c r="U89" s="61">
        <v>0</v>
      </c>
      <c r="V89" s="61">
        <v>0</v>
      </c>
      <c r="W89" s="61">
        <v>0</v>
      </c>
      <c r="X89" s="61">
        <v>0</v>
      </c>
      <c r="Y89" s="61">
        <v>0</v>
      </c>
      <c r="AA89" s="61">
        <v>0</v>
      </c>
      <c r="AB89" s="60">
        <v>0</v>
      </c>
      <c r="AD89" s="61">
        <v>0</v>
      </c>
      <c r="AE89" s="60">
        <v>0</v>
      </c>
    </row>
    <row r="90" spans="1:31" ht="18" hidden="1" customHeight="1" outlineLevel="1" x14ac:dyDescent="0.2">
      <c r="A90" s="30" t="s">
        <v>49</v>
      </c>
      <c r="B90" s="30" t="s">
        <v>17</v>
      </c>
      <c r="C90" s="4">
        <v>0</v>
      </c>
      <c r="D90" s="4">
        <v>0</v>
      </c>
      <c r="F90" s="106" t="s">
        <v>51</v>
      </c>
      <c r="H90" s="61">
        <v>0</v>
      </c>
      <c r="I90" s="61">
        <v>0</v>
      </c>
      <c r="J90" s="61">
        <v>0</v>
      </c>
      <c r="K90" s="86">
        <v>0</v>
      </c>
      <c r="L90" s="86">
        <v>0</v>
      </c>
      <c r="M90" s="61">
        <v>0</v>
      </c>
      <c r="N90" s="61">
        <v>0</v>
      </c>
      <c r="O90" s="61">
        <v>0</v>
      </c>
      <c r="P90" s="61">
        <v>0</v>
      </c>
      <c r="Q90" s="61">
        <v>0</v>
      </c>
      <c r="R90" s="61">
        <v>0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0</v>
      </c>
      <c r="Y90" s="61">
        <v>0</v>
      </c>
      <c r="AA90" s="61">
        <v>0</v>
      </c>
      <c r="AB90" s="60">
        <v>0</v>
      </c>
      <c r="AD90" s="61">
        <v>0</v>
      </c>
      <c r="AE90" s="60">
        <v>0</v>
      </c>
    </row>
    <row r="91" spans="1:31" ht="18" hidden="1" customHeight="1" outlineLevel="1" x14ac:dyDescent="0.2">
      <c r="A91" s="30" t="s">
        <v>213</v>
      </c>
      <c r="B91" s="30" t="s">
        <v>17</v>
      </c>
      <c r="C91" s="4">
        <v>0</v>
      </c>
      <c r="D91" s="4">
        <v>0</v>
      </c>
      <c r="F91" s="106" t="s">
        <v>215</v>
      </c>
      <c r="H91" s="61">
        <v>0</v>
      </c>
      <c r="I91" s="61">
        <v>0</v>
      </c>
      <c r="J91" s="61">
        <v>0</v>
      </c>
      <c r="K91" s="86">
        <v>0</v>
      </c>
      <c r="L91" s="86">
        <v>0</v>
      </c>
      <c r="M91" s="61">
        <v>0</v>
      </c>
      <c r="N91" s="61">
        <v>0</v>
      </c>
      <c r="O91" s="61">
        <v>0</v>
      </c>
      <c r="P91" s="61">
        <v>0</v>
      </c>
      <c r="Q91" s="61">
        <v>0</v>
      </c>
      <c r="R91" s="61">
        <v>0</v>
      </c>
      <c r="S91" s="61">
        <v>0</v>
      </c>
      <c r="T91" s="61">
        <v>0</v>
      </c>
      <c r="U91" s="61">
        <v>0</v>
      </c>
      <c r="V91" s="61">
        <v>0</v>
      </c>
      <c r="W91" s="61">
        <v>0</v>
      </c>
      <c r="X91" s="61">
        <v>0</v>
      </c>
      <c r="Y91" s="61">
        <v>0</v>
      </c>
      <c r="AA91" s="61">
        <v>0</v>
      </c>
      <c r="AB91" s="60">
        <v>0</v>
      </c>
      <c r="AD91" s="61">
        <v>0</v>
      </c>
      <c r="AE91" s="60">
        <v>0</v>
      </c>
    </row>
    <row r="92" spans="1:31" ht="18" hidden="1" customHeight="1" outlineLevel="1" x14ac:dyDescent="0.2">
      <c r="A92" s="30" t="s">
        <v>214</v>
      </c>
      <c r="B92" s="30" t="s">
        <v>17</v>
      </c>
      <c r="C92" s="4">
        <v>0</v>
      </c>
      <c r="D92" s="4">
        <v>0</v>
      </c>
      <c r="F92" s="106" t="s">
        <v>216</v>
      </c>
      <c r="H92" s="61">
        <v>0</v>
      </c>
      <c r="I92" s="61">
        <v>0</v>
      </c>
      <c r="J92" s="61">
        <v>0</v>
      </c>
      <c r="K92" s="86">
        <v>0</v>
      </c>
      <c r="L92" s="86">
        <v>0</v>
      </c>
      <c r="M92" s="61">
        <v>0</v>
      </c>
      <c r="N92" s="61">
        <v>0</v>
      </c>
      <c r="O92" s="61">
        <v>0</v>
      </c>
      <c r="P92" s="61">
        <v>0</v>
      </c>
      <c r="Q92" s="61">
        <v>0</v>
      </c>
      <c r="R92" s="61">
        <v>0</v>
      </c>
      <c r="S92" s="61">
        <v>0</v>
      </c>
      <c r="T92" s="61">
        <v>0</v>
      </c>
      <c r="U92" s="61">
        <v>0</v>
      </c>
      <c r="V92" s="61">
        <v>0</v>
      </c>
      <c r="W92" s="61">
        <v>0</v>
      </c>
      <c r="X92" s="61">
        <v>0</v>
      </c>
      <c r="Y92" s="61">
        <v>0</v>
      </c>
      <c r="AA92" s="61">
        <v>0</v>
      </c>
      <c r="AB92" s="60">
        <v>0</v>
      </c>
      <c r="AD92" s="61">
        <v>0</v>
      </c>
      <c r="AE92" s="60">
        <v>0</v>
      </c>
    </row>
    <row r="93" spans="1:31" ht="18" hidden="1" customHeight="1" outlineLevel="2" x14ac:dyDescent="0.2">
      <c r="A93" s="33" t="s">
        <v>53</v>
      </c>
      <c r="B93" s="33" t="s">
        <v>17</v>
      </c>
      <c r="C93" s="4">
        <v>0</v>
      </c>
      <c r="D93" s="4">
        <v>0</v>
      </c>
      <c r="F93" s="38" t="s">
        <v>55</v>
      </c>
      <c r="H93" s="66">
        <v>-103.78100000000001</v>
      </c>
      <c r="I93" s="66">
        <v>-44.843000000000004</v>
      </c>
      <c r="J93" s="66">
        <v>-44.843000000000004</v>
      </c>
      <c r="K93" s="86">
        <v>0</v>
      </c>
      <c r="L93" s="8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AA93" s="66">
        <v>0</v>
      </c>
      <c r="AB93" s="60">
        <v>0</v>
      </c>
      <c r="AD93" s="66">
        <v>0</v>
      </c>
      <c r="AE93" s="60">
        <v>0</v>
      </c>
    </row>
    <row r="94" spans="1:31" ht="18" hidden="1" customHeight="1" outlineLevel="2" x14ac:dyDescent="0.2">
      <c r="A94" s="33" t="s">
        <v>54</v>
      </c>
      <c r="B94" s="33" t="s">
        <v>17</v>
      </c>
      <c r="C94" s="4">
        <v>0</v>
      </c>
      <c r="D94" s="4">
        <v>0</v>
      </c>
      <c r="F94" s="38" t="s">
        <v>56</v>
      </c>
      <c r="H94" s="66">
        <v>0</v>
      </c>
      <c r="I94" s="66">
        <v>0</v>
      </c>
      <c r="J94" s="66">
        <v>0</v>
      </c>
      <c r="K94" s="86">
        <v>0</v>
      </c>
      <c r="L94" s="8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AA94" s="66">
        <v>0</v>
      </c>
      <c r="AB94" s="60">
        <v>0</v>
      </c>
      <c r="AD94" s="66">
        <v>0</v>
      </c>
      <c r="AE94" s="60">
        <v>0</v>
      </c>
    </row>
    <row r="95" spans="1:31" ht="18" hidden="1" customHeight="1" outlineLevel="1" x14ac:dyDescent="0.2">
      <c r="A95" s="35"/>
      <c r="B95" s="35"/>
      <c r="C95" s="4">
        <v>0</v>
      </c>
      <c r="D95" s="4">
        <v>0</v>
      </c>
      <c r="F95" s="106" t="s">
        <v>58</v>
      </c>
      <c r="H95" s="61">
        <v>-3.7939999999999969</v>
      </c>
      <c r="I95" s="61">
        <v>21.843000000000004</v>
      </c>
      <c r="J95" s="61">
        <v>21.843000000000004</v>
      </c>
      <c r="K95" s="86">
        <v>0</v>
      </c>
      <c r="L95" s="86">
        <v>0</v>
      </c>
      <c r="M95" s="61">
        <v>0</v>
      </c>
      <c r="N95" s="61">
        <v>0</v>
      </c>
      <c r="O95" s="61">
        <v>0</v>
      </c>
      <c r="P95" s="61">
        <v>0</v>
      </c>
      <c r="Q95" s="61">
        <v>0</v>
      </c>
      <c r="R95" s="61">
        <v>0</v>
      </c>
      <c r="S95" s="61">
        <v>0</v>
      </c>
      <c r="T95" s="61">
        <v>0</v>
      </c>
      <c r="U95" s="61">
        <v>0</v>
      </c>
      <c r="V95" s="61">
        <v>0</v>
      </c>
      <c r="W95" s="61">
        <v>0</v>
      </c>
      <c r="X95" s="61">
        <v>0</v>
      </c>
      <c r="Y95" s="61">
        <v>0</v>
      </c>
      <c r="AA95" s="61">
        <v>0</v>
      </c>
      <c r="AB95" s="60">
        <v>0</v>
      </c>
      <c r="AD95" s="61">
        <v>0</v>
      </c>
      <c r="AE95" s="60">
        <v>0</v>
      </c>
    </row>
    <row r="96" spans="1:31" ht="18" customHeight="1" collapsed="1" x14ac:dyDescent="0.2">
      <c r="A96" s="35"/>
      <c r="B96" s="35"/>
      <c r="C96" s="4">
        <v>0</v>
      </c>
      <c r="D96" s="4">
        <v>0</v>
      </c>
      <c r="F96" s="45" t="s">
        <v>26</v>
      </c>
      <c r="H96" s="62">
        <v>-3.7939999999999969</v>
      </c>
      <c r="I96" s="62">
        <v>21.843000000000004</v>
      </c>
      <c r="J96" s="62">
        <v>21.843000000000004</v>
      </c>
      <c r="K96" s="108">
        <v>0</v>
      </c>
      <c r="L96" s="108">
        <v>0</v>
      </c>
      <c r="M96" s="62">
        <v>0</v>
      </c>
      <c r="N96" s="62">
        <v>0</v>
      </c>
      <c r="O96" s="62">
        <v>0</v>
      </c>
      <c r="P96" s="62">
        <v>0</v>
      </c>
      <c r="Q96" s="62">
        <v>0</v>
      </c>
      <c r="R96" s="62">
        <v>0</v>
      </c>
      <c r="S96" s="62">
        <v>0</v>
      </c>
      <c r="T96" s="62">
        <v>0</v>
      </c>
      <c r="U96" s="62">
        <v>0</v>
      </c>
      <c r="V96" s="62">
        <v>0</v>
      </c>
      <c r="W96" s="62">
        <v>0</v>
      </c>
      <c r="X96" s="62">
        <v>0</v>
      </c>
      <c r="Y96" s="62">
        <v>0</v>
      </c>
      <c r="AA96" s="62">
        <v>0</v>
      </c>
      <c r="AB96" s="60">
        <v>0</v>
      </c>
      <c r="AD96" s="62">
        <v>0</v>
      </c>
      <c r="AE96" s="60">
        <v>0</v>
      </c>
    </row>
    <row r="97" spans="1:31" ht="18" customHeight="1" x14ac:dyDescent="0.2">
      <c r="A97" s="30" t="s">
        <v>16</v>
      </c>
      <c r="B97" s="30" t="s">
        <v>17</v>
      </c>
      <c r="C97" s="4">
        <v>0</v>
      </c>
      <c r="D97" s="4">
        <v>0</v>
      </c>
      <c r="F97" s="95" t="s">
        <v>118</v>
      </c>
      <c r="H97" s="64">
        <v>-107.575</v>
      </c>
      <c r="I97" s="64">
        <v>-49.417000000000002</v>
      </c>
      <c r="J97" s="64">
        <v>-49.417000000000002</v>
      </c>
      <c r="K97" s="89">
        <v>0</v>
      </c>
      <c r="L97" s="89">
        <v>0</v>
      </c>
      <c r="M97" s="64">
        <v>0</v>
      </c>
      <c r="N97" s="64">
        <v>0</v>
      </c>
      <c r="O97" s="64">
        <v>0</v>
      </c>
      <c r="P97" s="64">
        <v>0</v>
      </c>
      <c r="Q97" s="64">
        <v>0</v>
      </c>
      <c r="R97" s="64">
        <v>0</v>
      </c>
      <c r="S97" s="64">
        <v>0</v>
      </c>
      <c r="T97" s="64">
        <v>0</v>
      </c>
      <c r="U97" s="64">
        <v>0</v>
      </c>
      <c r="V97" s="64">
        <v>0</v>
      </c>
      <c r="W97" s="64">
        <v>0</v>
      </c>
      <c r="X97" s="64">
        <v>0</v>
      </c>
      <c r="Y97" s="64">
        <v>0</v>
      </c>
      <c r="AA97" s="64">
        <v>0</v>
      </c>
      <c r="AB97" s="60">
        <v>0</v>
      </c>
      <c r="AD97" s="64">
        <v>0</v>
      </c>
      <c r="AE97" s="60">
        <v>0</v>
      </c>
    </row>
    <row r="98" spans="1:31" ht="12.95" customHeight="1" x14ac:dyDescent="0.2">
      <c r="A98" s="35"/>
      <c r="B98" s="35"/>
      <c r="C98" s="4"/>
      <c r="D98" s="4"/>
      <c r="F98" s="39" t="s">
        <v>223</v>
      </c>
      <c r="H98" s="56">
        <v>0.23274757894919038</v>
      </c>
      <c r="I98" s="56">
        <v>0.43784554862489367</v>
      </c>
      <c r="J98" s="56">
        <v>0.43784554862489367</v>
      </c>
      <c r="K98" s="109" t="e">
        <v>#DIV/0!</v>
      </c>
      <c r="L98" s="109" t="e">
        <v>#DIV/0!</v>
      </c>
      <c r="M98" s="56" t="e">
        <v>#DIV/0!</v>
      </c>
      <c r="N98" s="56">
        <v>0</v>
      </c>
      <c r="O98" s="56" t="e">
        <v>#DIV/0!</v>
      </c>
      <c r="P98" s="56" t="e">
        <v>#DIV/0!</v>
      </c>
      <c r="Q98" s="56" t="e">
        <v>#DIV/0!</v>
      </c>
      <c r="R98" s="56">
        <v>0</v>
      </c>
      <c r="S98" s="56">
        <v>0</v>
      </c>
      <c r="T98" s="56" t="e">
        <v>#DIV/0!</v>
      </c>
      <c r="U98" s="56" t="e">
        <v>#DIV/0!</v>
      </c>
      <c r="V98" s="56" t="e">
        <v>#DIV/0!</v>
      </c>
      <c r="W98" s="56" t="e">
        <v>#DIV/0!</v>
      </c>
      <c r="X98" s="56">
        <v>0</v>
      </c>
      <c r="Y98" s="56">
        <v>0</v>
      </c>
      <c r="AA98" s="56" t="e">
        <v>#DIV/0!</v>
      </c>
      <c r="AB98" s="57"/>
      <c r="AD98" s="56" t="e">
        <v>#DIV/0!</v>
      </c>
      <c r="AE98" s="57"/>
    </row>
    <row r="99" spans="1:31" ht="6.95" customHeight="1" x14ac:dyDescent="0.2">
      <c r="C99" s="4"/>
      <c r="D99" s="4"/>
      <c r="F99" s="96"/>
      <c r="K99" s="110"/>
      <c r="L99" s="110"/>
      <c r="AB99" s="7"/>
      <c r="AE99" s="7"/>
    </row>
    <row r="100" spans="1:31" ht="18" hidden="1" customHeight="1" outlineLevel="1" x14ac:dyDescent="0.2">
      <c r="A100" s="30" t="s">
        <v>36</v>
      </c>
      <c r="B100" s="30" t="s">
        <v>59</v>
      </c>
      <c r="C100" s="4"/>
      <c r="D100" s="4"/>
      <c r="F100" s="51" t="s">
        <v>235</v>
      </c>
      <c r="G100" s="34"/>
      <c r="H100" s="72">
        <v>0.85</v>
      </c>
      <c r="I100" s="72">
        <v>0.80100000000000005</v>
      </c>
      <c r="J100" s="72">
        <v>0.80100000000000005</v>
      </c>
      <c r="K100" s="111">
        <v>0</v>
      </c>
      <c r="L100" s="111">
        <v>0</v>
      </c>
      <c r="M100" s="72">
        <v>0</v>
      </c>
      <c r="N100" s="72">
        <v>0</v>
      </c>
      <c r="O100" s="72">
        <v>0</v>
      </c>
      <c r="P100" s="72">
        <v>0</v>
      </c>
      <c r="Q100" s="72">
        <v>0</v>
      </c>
      <c r="R100" s="72">
        <v>0</v>
      </c>
      <c r="S100" s="72">
        <v>0</v>
      </c>
      <c r="T100" s="72">
        <v>0</v>
      </c>
      <c r="U100" s="72">
        <v>0</v>
      </c>
      <c r="V100" s="72">
        <v>0</v>
      </c>
      <c r="W100" s="72">
        <v>0</v>
      </c>
      <c r="X100" s="72">
        <v>0</v>
      </c>
      <c r="Y100" s="72">
        <v>0</v>
      </c>
      <c r="Z100" s="34"/>
      <c r="AA100" s="72">
        <v>0</v>
      </c>
      <c r="AB100" s="73">
        <v>0</v>
      </c>
      <c r="AC100" s="34"/>
      <c r="AD100" s="72">
        <v>0</v>
      </c>
      <c r="AE100" s="73">
        <v>0</v>
      </c>
    </row>
    <row r="101" spans="1:31" ht="18" hidden="1" customHeight="1" outlineLevel="1" x14ac:dyDescent="0.2">
      <c r="A101" s="30" t="s">
        <v>36</v>
      </c>
      <c r="B101" s="30" t="s">
        <v>60</v>
      </c>
      <c r="C101" s="4"/>
      <c r="D101" s="4"/>
      <c r="F101" s="51" t="s">
        <v>236</v>
      </c>
      <c r="G101" s="34"/>
      <c r="H101" s="72">
        <v>0</v>
      </c>
      <c r="I101" s="72">
        <v>0</v>
      </c>
      <c r="J101" s="72">
        <v>0</v>
      </c>
      <c r="K101" s="111">
        <v>0</v>
      </c>
      <c r="L101" s="111">
        <v>0</v>
      </c>
      <c r="M101" s="72">
        <v>0</v>
      </c>
      <c r="N101" s="72">
        <v>0</v>
      </c>
      <c r="O101" s="72">
        <v>0</v>
      </c>
      <c r="P101" s="72">
        <v>0</v>
      </c>
      <c r="Q101" s="72">
        <v>0</v>
      </c>
      <c r="R101" s="72">
        <v>0</v>
      </c>
      <c r="S101" s="72">
        <v>0</v>
      </c>
      <c r="T101" s="72">
        <v>0</v>
      </c>
      <c r="U101" s="72">
        <v>0</v>
      </c>
      <c r="V101" s="72">
        <v>0</v>
      </c>
      <c r="W101" s="72">
        <v>0</v>
      </c>
      <c r="X101" s="72">
        <v>0</v>
      </c>
      <c r="Y101" s="72">
        <v>0</v>
      </c>
      <c r="Z101" s="34"/>
      <c r="AA101" s="72">
        <v>0</v>
      </c>
      <c r="AB101" s="73">
        <v>0</v>
      </c>
      <c r="AC101" s="34"/>
      <c r="AD101" s="72">
        <v>0</v>
      </c>
      <c r="AE101" s="73">
        <v>0</v>
      </c>
    </row>
    <row r="102" spans="1:31" ht="18" hidden="1" customHeight="1" outlineLevel="1" x14ac:dyDescent="0.2">
      <c r="A102" s="30" t="s">
        <v>36</v>
      </c>
      <c r="B102" s="30" t="s">
        <v>61</v>
      </c>
      <c r="C102" s="4"/>
      <c r="D102" s="4"/>
      <c r="F102" s="51" t="s">
        <v>237</v>
      </c>
      <c r="G102" s="34"/>
      <c r="H102" s="72">
        <v>4.5199999999999996</v>
      </c>
      <c r="I102" s="72">
        <v>3.2589999999999999</v>
      </c>
      <c r="J102" s="72">
        <v>3.2589999999999999</v>
      </c>
      <c r="K102" s="111">
        <v>0</v>
      </c>
      <c r="L102" s="111">
        <v>0</v>
      </c>
      <c r="M102" s="72">
        <v>0</v>
      </c>
      <c r="N102" s="72">
        <v>0</v>
      </c>
      <c r="O102" s="72">
        <v>0</v>
      </c>
      <c r="P102" s="72">
        <v>0</v>
      </c>
      <c r="Q102" s="72">
        <v>0</v>
      </c>
      <c r="R102" s="72">
        <v>0</v>
      </c>
      <c r="S102" s="72">
        <v>0</v>
      </c>
      <c r="T102" s="72">
        <v>0</v>
      </c>
      <c r="U102" s="72">
        <v>0</v>
      </c>
      <c r="V102" s="72">
        <v>0</v>
      </c>
      <c r="W102" s="72">
        <v>0</v>
      </c>
      <c r="X102" s="72">
        <v>0</v>
      </c>
      <c r="Y102" s="72">
        <v>0</v>
      </c>
      <c r="Z102" s="34"/>
      <c r="AA102" s="72">
        <v>0</v>
      </c>
      <c r="AB102" s="73">
        <v>0</v>
      </c>
      <c r="AC102" s="34"/>
      <c r="AD102" s="72">
        <v>0</v>
      </c>
      <c r="AE102" s="73">
        <v>0</v>
      </c>
    </row>
    <row r="103" spans="1:31" ht="18" hidden="1" customHeight="1" outlineLevel="1" x14ac:dyDescent="0.2">
      <c r="A103" s="30" t="s">
        <v>36</v>
      </c>
      <c r="B103" s="30" t="s">
        <v>62</v>
      </c>
      <c r="C103" s="4"/>
      <c r="D103" s="4"/>
      <c r="F103" s="51" t="s">
        <v>238</v>
      </c>
      <c r="G103" s="34"/>
      <c r="H103" s="72">
        <v>0</v>
      </c>
      <c r="I103" s="72">
        <v>0</v>
      </c>
      <c r="J103" s="72">
        <v>0</v>
      </c>
      <c r="K103" s="111">
        <v>0</v>
      </c>
      <c r="L103" s="111">
        <v>0</v>
      </c>
      <c r="M103" s="72">
        <v>0</v>
      </c>
      <c r="N103" s="72">
        <v>0</v>
      </c>
      <c r="O103" s="72">
        <v>0</v>
      </c>
      <c r="P103" s="72">
        <v>0</v>
      </c>
      <c r="Q103" s="72">
        <v>0</v>
      </c>
      <c r="R103" s="72">
        <v>0</v>
      </c>
      <c r="S103" s="72">
        <v>0</v>
      </c>
      <c r="T103" s="72">
        <v>0</v>
      </c>
      <c r="U103" s="72">
        <v>0</v>
      </c>
      <c r="V103" s="72">
        <v>0</v>
      </c>
      <c r="W103" s="72">
        <v>0</v>
      </c>
      <c r="X103" s="72">
        <v>0</v>
      </c>
      <c r="Y103" s="72">
        <v>0</v>
      </c>
      <c r="Z103" s="34"/>
      <c r="AA103" s="72">
        <v>0</v>
      </c>
      <c r="AB103" s="73">
        <v>0</v>
      </c>
      <c r="AC103" s="34"/>
      <c r="AD103" s="72">
        <v>0</v>
      </c>
      <c r="AE103" s="73">
        <v>0</v>
      </c>
    </row>
    <row r="104" spans="1:31" ht="18" customHeight="1" collapsed="1" x14ac:dyDescent="0.2">
      <c r="A104" s="30" t="s">
        <v>36</v>
      </c>
      <c r="B104" s="30" t="s">
        <v>18</v>
      </c>
      <c r="C104" s="4"/>
      <c r="D104" s="4"/>
      <c r="F104" s="97" t="s">
        <v>239</v>
      </c>
      <c r="H104" s="74">
        <v>5.37</v>
      </c>
      <c r="I104" s="74">
        <v>4.0599999999999996</v>
      </c>
      <c r="J104" s="74">
        <v>4.0599999999999996</v>
      </c>
      <c r="K104" s="112">
        <v>0</v>
      </c>
      <c r="L104" s="112">
        <v>0</v>
      </c>
      <c r="M104" s="74">
        <v>0</v>
      </c>
      <c r="N104" s="74">
        <v>0</v>
      </c>
      <c r="O104" s="74">
        <v>0</v>
      </c>
      <c r="P104" s="74">
        <v>0</v>
      </c>
      <c r="Q104" s="74">
        <v>0</v>
      </c>
      <c r="R104" s="74">
        <v>0</v>
      </c>
      <c r="S104" s="74">
        <v>0</v>
      </c>
      <c r="T104" s="74">
        <v>0</v>
      </c>
      <c r="U104" s="74">
        <v>0</v>
      </c>
      <c r="V104" s="74">
        <v>0</v>
      </c>
      <c r="W104" s="74">
        <v>0</v>
      </c>
      <c r="X104" s="74">
        <v>0</v>
      </c>
      <c r="Y104" s="74">
        <v>0</v>
      </c>
      <c r="AA104" s="74">
        <v>0</v>
      </c>
      <c r="AB104" s="73">
        <v>0</v>
      </c>
      <c r="AD104" s="74">
        <v>0</v>
      </c>
      <c r="AE104" s="73">
        <v>0</v>
      </c>
    </row>
    <row r="105" spans="1:31" ht="18" hidden="1" customHeight="1" outlineLevel="1" collapsed="1" x14ac:dyDescent="0.2">
      <c r="A105" s="33" t="s">
        <v>211</v>
      </c>
      <c r="B105" s="33" t="s">
        <v>18</v>
      </c>
      <c r="C105" s="4"/>
      <c r="D105" s="4"/>
      <c r="F105" s="98" t="s">
        <v>212</v>
      </c>
      <c r="G105" s="34"/>
      <c r="H105" s="75">
        <v>5.6890000000000001</v>
      </c>
      <c r="I105" s="75">
        <v>4.194</v>
      </c>
      <c r="J105" s="75">
        <v>4.194</v>
      </c>
      <c r="K105" s="112">
        <v>0</v>
      </c>
      <c r="L105" s="112">
        <v>0</v>
      </c>
      <c r="M105" s="75">
        <v>0</v>
      </c>
      <c r="N105" s="75">
        <v>0</v>
      </c>
      <c r="O105" s="75">
        <v>0</v>
      </c>
      <c r="P105" s="75">
        <v>0</v>
      </c>
      <c r="Q105" s="75">
        <v>0</v>
      </c>
      <c r="R105" s="75">
        <v>0</v>
      </c>
      <c r="S105" s="75">
        <v>0</v>
      </c>
      <c r="T105" s="75">
        <v>0</v>
      </c>
      <c r="U105" s="75">
        <v>0</v>
      </c>
      <c r="V105" s="75">
        <v>0</v>
      </c>
      <c r="W105" s="75">
        <v>0</v>
      </c>
      <c r="X105" s="75">
        <v>0</v>
      </c>
      <c r="Y105" s="75">
        <v>0</v>
      </c>
      <c r="Z105" s="34"/>
      <c r="AA105" s="75">
        <v>0</v>
      </c>
      <c r="AB105" s="76">
        <v>0</v>
      </c>
      <c r="AC105" s="34"/>
      <c r="AD105" s="75">
        <v>0</v>
      </c>
      <c r="AE105" s="76">
        <v>0</v>
      </c>
    </row>
    <row r="106" spans="1:31" ht="18" hidden="1" customHeight="1" outlineLevel="1" collapsed="1" x14ac:dyDescent="0.2">
      <c r="A106" s="35"/>
      <c r="B106" s="35"/>
      <c r="C106" s="4"/>
      <c r="D106" s="4"/>
      <c r="F106" s="97" t="s">
        <v>240</v>
      </c>
      <c r="H106" s="74">
        <v>0.31899999999999995</v>
      </c>
      <c r="I106" s="74">
        <v>0.13400000000000034</v>
      </c>
      <c r="J106" s="74">
        <v>0.13400000000000034</v>
      </c>
      <c r="K106" s="112">
        <v>0</v>
      </c>
      <c r="L106" s="112">
        <v>0</v>
      </c>
      <c r="M106" s="74">
        <v>0</v>
      </c>
      <c r="N106" s="74">
        <v>0</v>
      </c>
      <c r="O106" s="74">
        <v>0</v>
      </c>
      <c r="P106" s="74">
        <v>0</v>
      </c>
      <c r="Q106" s="74">
        <v>0</v>
      </c>
      <c r="R106" s="74">
        <v>0</v>
      </c>
      <c r="S106" s="74">
        <v>0</v>
      </c>
      <c r="T106" s="74">
        <v>0</v>
      </c>
      <c r="U106" s="74">
        <v>0</v>
      </c>
      <c r="V106" s="74">
        <v>0</v>
      </c>
      <c r="W106" s="74">
        <v>0</v>
      </c>
      <c r="X106" s="74">
        <v>0</v>
      </c>
      <c r="Y106" s="74">
        <v>0</v>
      </c>
      <c r="AA106" s="74">
        <v>0</v>
      </c>
      <c r="AB106" s="73">
        <v>0</v>
      </c>
      <c r="AD106" s="74">
        <v>0</v>
      </c>
      <c r="AE106" s="73">
        <v>0</v>
      </c>
    </row>
    <row r="107" spans="1:31" ht="12.95" hidden="1" customHeight="1" outlineLevel="1" x14ac:dyDescent="0.2">
      <c r="A107" s="35"/>
      <c r="B107" s="35"/>
      <c r="C107" s="4"/>
      <c r="D107" s="4"/>
      <c r="F107" s="39" t="s">
        <v>37</v>
      </c>
      <c r="H107" s="68">
        <v>5.6073123571805231E-2</v>
      </c>
      <c r="I107" s="68">
        <v>3.1950405340963363E-2</v>
      </c>
      <c r="J107" s="68">
        <v>3.1950405340963363E-2</v>
      </c>
      <c r="K107" s="113">
        <v>0</v>
      </c>
      <c r="L107" s="113">
        <v>0</v>
      </c>
      <c r="M107" s="68">
        <v>0</v>
      </c>
      <c r="N107" s="68">
        <v>0</v>
      </c>
      <c r="O107" s="68">
        <v>0</v>
      </c>
      <c r="P107" s="68">
        <v>0</v>
      </c>
      <c r="Q107" s="68">
        <v>0</v>
      </c>
      <c r="R107" s="68">
        <v>0</v>
      </c>
      <c r="S107" s="68">
        <v>0</v>
      </c>
      <c r="T107" s="68">
        <v>0</v>
      </c>
      <c r="U107" s="68">
        <v>0</v>
      </c>
      <c r="V107" s="68">
        <v>0</v>
      </c>
      <c r="W107" s="68">
        <v>0</v>
      </c>
      <c r="X107" s="68">
        <v>0</v>
      </c>
      <c r="Y107" s="68">
        <v>0</v>
      </c>
      <c r="AA107" s="68">
        <v>0</v>
      </c>
      <c r="AB107" s="69"/>
      <c r="AD107" s="68">
        <v>0</v>
      </c>
      <c r="AE107" s="69"/>
    </row>
    <row r="108" spans="1:31" ht="18" customHeight="1" collapsed="1" x14ac:dyDescent="0.2">
      <c r="A108" s="30" t="s">
        <v>220</v>
      </c>
      <c r="B108" s="30" t="s">
        <v>18</v>
      </c>
      <c r="C108" s="4">
        <v>1</v>
      </c>
      <c r="D108" s="4">
        <v>1</v>
      </c>
      <c r="F108" s="106" t="s">
        <v>66</v>
      </c>
      <c r="H108" s="61">
        <v>-302.77800000000002</v>
      </c>
      <c r="I108" s="61">
        <v>-92.852999999999994</v>
      </c>
      <c r="J108" s="61">
        <v>-92.852999999999994</v>
      </c>
      <c r="K108" s="86">
        <v>0</v>
      </c>
      <c r="L108" s="86">
        <v>0</v>
      </c>
      <c r="M108" s="61">
        <v>2.88</v>
      </c>
      <c r="N108" s="61">
        <v>0</v>
      </c>
      <c r="O108" s="61">
        <v>0</v>
      </c>
      <c r="P108" s="61">
        <v>0</v>
      </c>
      <c r="Q108" s="61">
        <v>0</v>
      </c>
      <c r="R108" s="61">
        <v>0</v>
      </c>
      <c r="S108" s="61">
        <v>0</v>
      </c>
      <c r="T108" s="61">
        <v>0</v>
      </c>
      <c r="U108" s="61">
        <v>0</v>
      </c>
      <c r="V108" s="61">
        <v>0</v>
      </c>
      <c r="W108" s="61">
        <v>0</v>
      </c>
      <c r="X108" s="61">
        <v>0</v>
      </c>
      <c r="Y108" s="61">
        <v>2.88</v>
      </c>
      <c r="AA108" s="61">
        <v>0</v>
      </c>
      <c r="AB108" s="60">
        <v>2.88</v>
      </c>
      <c r="AD108" s="61">
        <v>0</v>
      </c>
      <c r="AE108" s="60">
        <v>2.88</v>
      </c>
    </row>
    <row r="109" spans="1:31" ht="18" customHeight="1" x14ac:dyDescent="0.2">
      <c r="A109" s="30" t="s">
        <v>218</v>
      </c>
      <c r="B109" s="30" t="s">
        <v>18</v>
      </c>
      <c r="C109" s="4">
        <v>0</v>
      </c>
      <c r="D109" s="4">
        <v>0</v>
      </c>
      <c r="F109" s="104" t="s">
        <v>219</v>
      </c>
      <c r="G109" s="36"/>
      <c r="H109" s="65">
        <v>2.4460000000000002</v>
      </c>
      <c r="I109" s="65">
        <v>-6.468</v>
      </c>
      <c r="J109" s="65">
        <v>-6.468</v>
      </c>
      <c r="K109" s="65">
        <v>0</v>
      </c>
      <c r="L109" s="65">
        <v>0</v>
      </c>
      <c r="M109" s="65">
        <v>0</v>
      </c>
      <c r="N109" s="65">
        <v>0</v>
      </c>
      <c r="O109" s="65">
        <v>0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0</v>
      </c>
      <c r="Y109" s="65">
        <v>0</v>
      </c>
      <c r="Z109" s="36"/>
      <c r="AA109" s="65">
        <v>0</v>
      </c>
      <c r="AB109" s="60">
        <v>0</v>
      </c>
      <c r="AC109" s="36"/>
      <c r="AD109" s="65">
        <v>0</v>
      </c>
      <c r="AE109" s="60">
        <v>0</v>
      </c>
    </row>
    <row r="110" spans="1:31" ht="18" customHeight="1" x14ac:dyDescent="0.2">
      <c r="A110" s="30" t="s">
        <v>34</v>
      </c>
      <c r="B110" s="30" t="s">
        <v>18</v>
      </c>
      <c r="C110" s="4">
        <v>0</v>
      </c>
      <c r="D110" s="4">
        <v>0</v>
      </c>
      <c r="F110" s="106" t="s">
        <v>57</v>
      </c>
      <c r="H110" s="61">
        <v>0</v>
      </c>
      <c r="I110" s="61">
        <v>0</v>
      </c>
      <c r="J110" s="61">
        <v>0</v>
      </c>
      <c r="K110" s="86">
        <v>0</v>
      </c>
      <c r="L110" s="86">
        <v>0</v>
      </c>
      <c r="M110" s="61">
        <v>0</v>
      </c>
      <c r="N110" s="61">
        <v>0</v>
      </c>
      <c r="O110" s="61">
        <v>0</v>
      </c>
      <c r="P110" s="61">
        <v>0</v>
      </c>
      <c r="Q110" s="61">
        <v>0</v>
      </c>
      <c r="R110" s="61">
        <v>0</v>
      </c>
      <c r="S110" s="61">
        <v>0</v>
      </c>
      <c r="T110" s="61">
        <v>0</v>
      </c>
      <c r="U110" s="61">
        <v>0</v>
      </c>
      <c r="V110" s="61">
        <v>0</v>
      </c>
      <c r="W110" s="61">
        <v>0</v>
      </c>
      <c r="X110" s="61">
        <v>0</v>
      </c>
      <c r="Y110" s="61">
        <v>0</v>
      </c>
      <c r="AA110" s="61">
        <v>0</v>
      </c>
      <c r="AB110" s="60">
        <v>0</v>
      </c>
      <c r="AD110" s="61">
        <v>0</v>
      </c>
      <c r="AE110" s="60">
        <v>0</v>
      </c>
    </row>
    <row r="111" spans="1:31" ht="18" customHeight="1" x14ac:dyDescent="0.2">
      <c r="A111" s="30" t="s">
        <v>221</v>
      </c>
      <c r="B111" s="30" t="s">
        <v>18</v>
      </c>
      <c r="C111" s="4">
        <v>0</v>
      </c>
      <c r="D111" s="4">
        <v>0</v>
      </c>
      <c r="F111" s="106" t="s">
        <v>379</v>
      </c>
      <c r="H111" s="61">
        <v>0</v>
      </c>
      <c r="I111" s="61">
        <v>0</v>
      </c>
      <c r="J111" s="61">
        <v>0</v>
      </c>
      <c r="K111" s="86">
        <v>0</v>
      </c>
      <c r="L111" s="86">
        <v>0</v>
      </c>
      <c r="M111" s="61">
        <v>0</v>
      </c>
      <c r="N111" s="61">
        <v>0</v>
      </c>
      <c r="O111" s="61">
        <v>0</v>
      </c>
      <c r="P111" s="61">
        <v>0</v>
      </c>
      <c r="Q111" s="61">
        <v>0</v>
      </c>
      <c r="R111" s="61">
        <v>0</v>
      </c>
      <c r="S111" s="61">
        <v>0</v>
      </c>
      <c r="T111" s="61">
        <v>0</v>
      </c>
      <c r="U111" s="61">
        <v>0</v>
      </c>
      <c r="V111" s="61">
        <v>0</v>
      </c>
      <c r="W111" s="61">
        <v>0</v>
      </c>
      <c r="X111" s="61">
        <v>0</v>
      </c>
      <c r="Y111" s="61">
        <v>0</v>
      </c>
      <c r="AA111" s="61">
        <v>0</v>
      </c>
      <c r="AB111" s="60">
        <v>0</v>
      </c>
      <c r="AD111" s="61">
        <v>0</v>
      </c>
      <c r="AE111" s="60">
        <v>0</v>
      </c>
    </row>
    <row r="112" spans="1:31" ht="18" customHeight="1" x14ac:dyDescent="0.2">
      <c r="A112" s="30" t="s">
        <v>430</v>
      </c>
      <c r="B112" s="30" t="s">
        <v>18</v>
      </c>
      <c r="C112" s="4">
        <v>0</v>
      </c>
      <c r="D112" s="4">
        <v>0</v>
      </c>
      <c r="F112" s="106" t="s">
        <v>431</v>
      </c>
      <c r="H112" s="61">
        <v>-0.78600000000000003</v>
      </c>
      <c r="I112" s="61">
        <v>0</v>
      </c>
      <c r="J112" s="61">
        <v>0</v>
      </c>
      <c r="K112" s="86">
        <v>0</v>
      </c>
      <c r="L112" s="86">
        <v>0</v>
      </c>
      <c r="M112" s="61">
        <v>0</v>
      </c>
      <c r="N112" s="61">
        <v>0</v>
      </c>
      <c r="O112" s="61">
        <v>0</v>
      </c>
      <c r="P112" s="61">
        <v>0</v>
      </c>
      <c r="Q112" s="61">
        <v>0</v>
      </c>
      <c r="R112" s="61">
        <v>0</v>
      </c>
      <c r="S112" s="61">
        <v>0</v>
      </c>
      <c r="T112" s="61">
        <v>0</v>
      </c>
      <c r="U112" s="61">
        <v>0</v>
      </c>
      <c r="V112" s="61">
        <v>0</v>
      </c>
      <c r="W112" s="61">
        <v>0</v>
      </c>
      <c r="X112" s="61">
        <v>0</v>
      </c>
      <c r="Y112" s="61">
        <v>0</v>
      </c>
      <c r="AA112" s="61">
        <v>0</v>
      </c>
      <c r="AB112" s="60">
        <v>0</v>
      </c>
      <c r="AD112" s="61">
        <v>0</v>
      </c>
      <c r="AE112" s="60">
        <v>0</v>
      </c>
    </row>
    <row r="113" spans="1:31" ht="18" customHeight="1" x14ac:dyDescent="0.2">
      <c r="A113" s="30" t="s">
        <v>35</v>
      </c>
      <c r="B113" s="30" t="s">
        <v>18</v>
      </c>
      <c r="C113" s="4">
        <v>0</v>
      </c>
      <c r="D113" s="4">
        <v>0</v>
      </c>
      <c r="F113" s="106" t="s">
        <v>67</v>
      </c>
      <c r="H113" s="61">
        <v>0</v>
      </c>
      <c r="I113" s="61">
        <v>0</v>
      </c>
      <c r="J113" s="61">
        <v>0</v>
      </c>
      <c r="K113" s="86">
        <v>0</v>
      </c>
      <c r="L113" s="86">
        <v>0</v>
      </c>
      <c r="M113" s="61">
        <v>0</v>
      </c>
      <c r="N113" s="61">
        <v>0</v>
      </c>
      <c r="O113" s="61">
        <v>0</v>
      </c>
      <c r="P113" s="61">
        <v>0</v>
      </c>
      <c r="Q113" s="61">
        <v>0</v>
      </c>
      <c r="R113" s="61">
        <v>0</v>
      </c>
      <c r="S113" s="61">
        <v>0</v>
      </c>
      <c r="T113" s="61">
        <v>0</v>
      </c>
      <c r="U113" s="61">
        <v>0</v>
      </c>
      <c r="V113" s="61">
        <v>0</v>
      </c>
      <c r="W113" s="61">
        <v>0</v>
      </c>
      <c r="X113" s="61">
        <v>0</v>
      </c>
      <c r="Y113" s="61">
        <v>0</v>
      </c>
      <c r="AA113" s="61">
        <v>0</v>
      </c>
      <c r="AB113" s="60">
        <v>0</v>
      </c>
      <c r="AD113" s="61">
        <v>0</v>
      </c>
      <c r="AE113" s="60">
        <v>0</v>
      </c>
    </row>
    <row r="114" spans="1:31" ht="18" hidden="1" customHeight="1" outlineLevel="1" collapsed="1" x14ac:dyDescent="0.2">
      <c r="A114" s="35"/>
      <c r="B114" s="35"/>
      <c r="C114" s="4"/>
      <c r="D114" s="4"/>
      <c r="F114" s="97" t="s">
        <v>453</v>
      </c>
      <c r="H114" s="74">
        <v>0</v>
      </c>
      <c r="I114" s="74">
        <v>0</v>
      </c>
      <c r="J114" s="74">
        <v>0</v>
      </c>
      <c r="K114" s="112">
        <v>0</v>
      </c>
      <c r="L114" s="112">
        <v>0</v>
      </c>
      <c r="M114" s="74">
        <v>0</v>
      </c>
      <c r="N114" s="74">
        <v>0</v>
      </c>
      <c r="O114" s="74">
        <v>0</v>
      </c>
      <c r="P114" s="74">
        <v>0</v>
      </c>
      <c r="Q114" s="74">
        <v>0</v>
      </c>
      <c r="R114" s="74">
        <v>0</v>
      </c>
      <c r="S114" s="74">
        <v>0</v>
      </c>
      <c r="T114" s="74">
        <v>0</v>
      </c>
      <c r="U114" s="74">
        <v>0</v>
      </c>
      <c r="V114" s="74">
        <v>0</v>
      </c>
      <c r="W114" s="74">
        <v>0</v>
      </c>
      <c r="X114" s="74">
        <v>0</v>
      </c>
      <c r="Y114" s="74">
        <v>0</v>
      </c>
      <c r="AA114" s="74">
        <v>0</v>
      </c>
      <c r="AB114" s="73">
        <v>0</v>
      </c>
      <c r="AD114" s="74">
        <v>0</v>
      </c>
      <c r="AE114" s="73">
        <v>0</v>
      </c>
    </row>
    <row r="115" spans="1:31" ht="18" customHeight="1" collapsed="1" x14ac:dyDescent="0.2">
      <c r="A115" s="30" t="s">
        <v>20</v>
      </c>
      <c r="B115" s="30" t="s">
        <v>18</v>
      </c>
      <c r="C115" s="4">
        <v>0</v>
      </c>
      <c r="D115" s="4">
        <v>0</v>
      </c>
      <c r="F115" s="106" t="s">
        <v>68</v>
      </c>
      <c r="H115" s="61">
        <v>0</v>
      </c>
      <c r="I115" s="61">
        <v>0</v>
      </c>
      <c r="J115" s="61">
        <v>0</v>
      </c>
      <c r="K115" s="86">
        <v>0</v>
      </c>
      <c r="L115" s="86">
        <v>0</v>
      </c>
      <c r="M115" s="61">
        <v>0</v>
      </c>
      <c r="N115" s="61">
        <v>0</v>
      </c>
      <c r="O115" s="61">
        <v>0</v>
      </c>
      <c r="P115" s="61">
        <v>0</v>
      </c>
      <c r="Q115" s="61">
        <v>0</v>
      </c>
      <c r="R115" s="61">
        <v>0</v>
      </c>
      <c r="S115" s="61">
        <v>0</v>
      </c>
      <c r="T115" s="61">
        <v>0</v>
      </c>
      <c r="U115" s="61">
        <v>0</v>
      </c>
      <c r="V115" s="61">
        <v>0</v>
      </c>
      <c r="W115" s="61">
        <v>0</v>
      </c>
      <c r="X115" s="61">
        <v>0</v>
      </c>
      <c r="Y115" s="61">
        <v>0</v>
      </c>
      <c r="AA115" s="61">
        <v>0</v>
      </c>
      <c r="AB115" s="60">
        <v>0</v>
      </c>
      <c r="AD115" s="61">
        <v>0</v>
      </c>
      <c r="AE115" s="60">
        <v>0</v>
      </c>
    </row>
    <row r="116" spans="1:31" ht="18" customHeight="1" x14ac:dyDescent="0.2">
      <c r="A116" s="35"/>
      <c r="B116" s="35"/>
      <c r="C116" s="4">
        <v>1</v>
      </c>
      <c r="D116" s="4">
        <v>1</v>
      </c>
      <c r="F116" s="95" t="s">
        <v>275</v>
      </c>
      <c r="H116" s="198">
        <v>-301.11799999999999</v>
      </c>
      <c r="I116" s="198">
        <v>-99.320999999999998</v>
      </c>
      <c r="J116" s="198">
        <v>-99.320999999999998</v>
      </c>
      <c r="K116" s="89">
        <v>0</v>
      </c>
      <c r="L116" s="89">
        <v>0</v>
      </c>
      <c r="M116" s="64">
        <v>2.88</v>
      </c>
      <c r="N116" s="64">
        <v>0</v>
      </c>
      <c r="O116" s="64">
        <v>0</v>
      </c>
      <c r="P116" s="64">
        <v>0</v>
      </c>
      <c r="Q116" s="64">
        <v>0</v>
      </c>
      <c r="R116" s="64">
        <v>0</v>
      </c>
      <c r="S116" s="64">
        <v>0</v>
      </c>
      <c r="T116" s="64">
        <v>0</v>
      </c>
      <c r="U116" s="64">
        <v>0</v>
      </c>
      <c r="V116" s="64">
        <v>0</v>
      </c>
      <c r="W116" s="64">
        <v>0</v>
      </c>
      <c r="X116" s="64">
        <v>0</v>
      </c>
      <c r="Y116" s="64">
        <v>2.88</v>
      </c>
      <c r="AA116" s="64">
        <v>0</v>
      </c>
      <c r="AB116" s="60">
        <v>2.88</v>
      </c>
      <c r="AD116" s="64">
        <v>0</v>
      </c>
      <c r="AE116" s="60">
        <v>2.88</v>
      </c>
    </row>
    <row r="117" spans="1:31" ht="12.95" customHeight="1" x14ac:dyDescent="0.2">
      <c r="A117" s="35"/>
      <c r="B117" s="35"/>
      <c r="C117" s="4"/>
      <c r="D117" s="4"/>
      <c r="F117" s="39" t="s">
        <v>223</v>
      </c>
      <c r="H117" s="56">
        <v>0.65149417130394893</v>
      </c>
      <c r="I117" s="56">
        <v>0.88000602495038271</v>
      </c>
      <c r="J117" s="56">
        <v>0.88000602495038271</v>
      </c>
      <c r="K117" s="109" t="e">
        <v>#DIV/0!</v>
      </c>
      <c r="L117" s="109" t="e">
        <v>#DIV/0!</v>
      </c>
      <c r="M117" s="56" t="e">
        <v>#DIV/0!</v>
      </c>
      <c r="N117" s="56">
        <v>0</v>
      </c>
      <c r="O117" s="56" t="e">
        <v>#DIV/0!</v>
      </c>
      <c r="P117" s="56" t="e">
        <v>#DIV/0!</v>
      </c>
      <c r="Q117" s="56" t="e">
        <v>#DIV/0!</v>
      </c>
      <c r="R117" s="56">
        <v>0</v>
      </c>
      <c r="S117" s="56">
        <v>0</v>
      </c>
      <c r="T117" s="56" t="e">
        <v>#DIV/0!</v>
      </c>
      <c r="U117" s="56" t="e">
        <v>#DIV/0!</v>
      </c>
      <c r="V117" s="56" t="e">
        <v>#DIV/0!</v>
      </c>
      <c r="W117" s="56" t="e">
        <v>#DIV/0!</v>
      </c>
      <c r="X117" s="56">
        <v>0</v>
      </c>
      <c r="Y117" s="56">
        <v>-2.0125786163522013</v>
      </c>
      <c r="AA117" s="56" t="e">
        <v>#DIV/0!</v>
      </c>
      <c r="AB117" s="57"/>
      <c r="AD117" s="56" t="e">
        <v>#DIV/0!</v>
      </c>
      <c r="AE117" s="57"/>
    </row>
    <row r="118" spans="1:31" ht="6.95" customHeight="1" x14ac:dyDescent="0.2">
      <c r="C118" s="4"/>
      <c r="D118" s="4"/>
      <c r="F118" s="99"/>
      <c r="H118" s="16"/>
      <c r="I118" s="16"/>
      <c r="J118" s="16"/>
      <c r="K118" s="85"/>
      <c r="L118" s="85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AA118" s="16"/>
      <c r="AB118" s="20"/>
      <c r="AD118" s="16"/>
      <c r="AE118" s="20"/>
    </row>
    <row r="119" spans="1:31" ht="18" customHeight="1" x14ac:dyDescent="0.2">
      <c r="A119" s="30" t="s">
        <v>70</v>
      </c>
      <c r="B119" s="30" t="s">
        <v>18</v>
      </c>
      <c r="C119" s="4"/>
      <c r="D119" s="4"/>
      <c r="F119" s="97" t="s">
        <v>225</v>
      </c>
      <c r="H119" s="74">
        <v>5.8639999999999999</v>
      </c>
      <c r="I119" s="74">
        <v>1.5</v>
      </c>
      <c r="J119" s="74">
        <v>1.5</v>
      </c>
      <c r="K119" s="112">
        <v>6</v>
      </c>
      <c r="L119" s="112">
        <v>6</v>
      </c>
      <c r="M119" s="74">
        <v>0</v>
      </c>
      <c r="N119" s="74">
        <v>0</v>
      </c>
      <c r="O119" s="74">
        <v>0</v>
      </c>
      <c r="P119" s="74">
        <v>0</v>
      </c>
      <c r="Q119" s="74">
        <v>0</v>
      </c>
      <c r="R119" s="74">
        <v>0</v>
      </c>
      <c r="S119" s="74">
        <v>0</v>
      </c>
      <c r="T119" s="74">
        <v>0</v>
      </c>
      <c r="U119" s="74">
        <v>0</v>
      </c>
      <c r="V119" s="74">
        <v>0</v>
      </c>
      <c r="W119" s="74">
        <v>0</v>
      </c>
      <c r="X119" s="74">
        <v>0</v>
      </c>
      <c r="Y119" s="74">
        <v>0</v>
      </c>
      <c r="AA119" s="74">
        <v>6</v>
      </c>
      <c r="AB119" s="73">
        <v>-6</v>
      </c>
      <c r="AD119" s="74">
        <v>6</v>
      </c>
      <c r="AE119" s="73">
        <v>-6</v>
      </c>
    </row>
    <row r="120" spans="1:31" ht="12.95" customHeight="1" x14ac:dyDescent="0.2">
      <c r="A120" s="35"/>
      <c r="B120" s="35"/>
      <c r="C120" s="4"/>
      <c r="D120" s="4"/>
      <c r="F120" s="39" t="s">
        <v>71</v>
      </c>
      <c r="H120" s="132">
        <v>-4521.8281036834924</v>
      </c>
      <c r="I120" s="132">
        <v>-6084.666666666667</v>
      </c>
      <c r="J120" s="132">
        <v>-6084.666666666667</v>
      </c>
      <c r="K120" s="133">
        <v>0</v>
      </c>
      <c r="L120" s="133">
        <v>0</v>
      </c>
      <c r="M120" s="132">
        <v>0</v>
      </c>
      <c r="N120" s="132">
        <v>0</v>
      </c>
      <c r="O120" s="132">
        <v>0</v>
      </c>
      <c r="P120" s="132">
        <v>0</v>
      </c>
      <c r="Q120" s="132">
        <v>0</v>
      </c>
      <c r="R120" s="132">
        <v>0</v>
      </c>
      <c r="S120" s="132">
        <v>0</v>
      </c>
      <c r="T120" s="132">
        <v>0</v>
      </c>
      <c r="U120" s="132">
        <v>0</v>
      </c>
      <c r="V120" s="132">
        <v>0</v>
      </c>
      <c r="W120" s="132">
        <v>0</v>
      </c>
      <c r="X120" s="132">
        <v>0</v>
      </c>
      <c r="Y120" s="132">
        <v>0</v>
      </c>
      <c r="AA120" s="132">
        <v>0</v>
      </c>
      <c r="AB120" s="134">
        <v>0</v>
      </c>
      <c r="AD120" s="132">
        <v>0</v>
      </c>
      <c r="AE120" s="134">
        <v>0</v>
      </c>
    </row>
    <row r="121" spans="1:31" ht="18" customHeight="1" x14ac:dyDescent="0.2">
      <c r="A121" s="30" t="s">
        <v>63</v>
      </c>
      <c r="B121" s="30" t="s">
        <v>18</v>
      </c>
      <c r="C121" s="4">
        <v>0</v>
      </c>
      <c r="D121" s="4">
        <v>0</v>
      </c>
      <c r="F121" s="106" t="s">
        <v>401</v>
      </c>
      <c r="H121" s="61">
        <v>-10.718999999999999</v>
      </c>
      <c r="I121" s="61">
        <v>-3.8980000000000001</v>
      </c>
      <c r="J121" s="61">
        <v>-3.8980000000000001</v>
      </c>
      <c r="K121" s="86">
        <v>0</v>
      </c>
      <c r="L121" s="86">
        <v>0</v>
      </c>
      <c r="M121" s="61">
        <v>0</v>
      </c>
      <c r="N121" s="61">
        <v>0</v>
      </c>
      <c r="O121" s="61">
        <v>0</v>
      </c>
      <c r="P121" s="61">
        <v>0</v>
      </c>
      <c r="Q121" s="61">
        <v>0</v>
      </c>
      <c r="R121" s="61">
        <v>0</v>
      </c>
      <c r="S121" s="61">
        <v>0</v>
      </c>
      <c r="T121" s="61">
        <v>0</v>
      </c>
      <c r="U121" s="61">
        <v>0</v>
      </c>
      <c r="V121" s="61">
        <v>0</v>
      </c>
      <c r="W121" s="61">
        <v>0</v>
      </c>
      <c r="X121" s="61">
        <v>0</v>
      </c>
      <c r="Y121" s="61">
        <v>0</v>
      </c>
      <c r="AA121" s="61">
        <v>0</v>
      </c>
      <c r="AB121" s="60">
        <v>0</v>
      </c>
      <c r="AD121" s="61">
        <v>0</v>
      </c>
      <c r="AE121" s="60">
        <v>0</v>
      </c>
    </row>
    <row r="122" spans="1:31" ht="18" customHeight="1" x14ac:dyDescent="0.2">
      <c r="A122" s="30" t="s">
        <v>148</v>
      </c>
      <c r="B122" s="30" t="s">
        <v>18</v>
      </c>
      <c r="C122" s="4">
        <v>0</v>
      </c>
      <c r="D122" s="4">
        <v>0</v>
      </c>
      <c r="F122" s="106" t="s">
        <v>149</v>
      </c>
      <c r="H122" s="61">
        <v>0</v>
      </c>
      <c r="I122" s="61">
        <v>0</v>
      </c>
      <c r="J122" s="61">
        <v>0</v>
      </c>
      <c r="K122" s="86">
        <v>0</v>
      </c>
      <c r="L122" s="86">
        <v>0</v>
      </c>
      <c r="M122" s="61">
        <v>0</v>
      </c>
      <c r="N122" s="61">
        <v>0</v>
      </c>
      <c r="O122" s="61">
        <v>0</v>
      </c>
      <c r="P122" s="61">
        <v>0</v>
      </c>
      <c r="Q122" s="61">
        <v>0</v>
      </c>
      <c r="R122" s="61">
        <v>0</v>
      </c>
      <c r="S122" s="61">
        <v>0</v>
      </c>
      <c r="T122" s="61">
        <v>0</v>
      </c>
      <c r="U122" s="61">
        <v>0</v>
      </c>
      <c r="V122" s="61">
        <v>0</v>
      </c>
      <c r="W122" s="61">
        <v>0</v>
      </c>
      <c r="X122" s="61">
        <v>0</v>
      </c>
      <c r="Y122" s="61">
        <v>0</v>
      </c>
      <c r="AA122" s="61">
        <v>0</v>
      </c>
      <c r="AB122" s="60">
        <v>0</v>
      </c>
      <c r="AD122" s="61">
        <v>0</v>
      </c>
      <c r="AE122" s="60">
        <v>0</v>
      </c>
    </row>
    <row r="123" spans="1:31" ht="18" customHeight="1" x14ac:dyDescent="0.2">
      <c r="A123" s="30" t="s">
        <v>64</v>
      </c>
      <c r="B123" s="30" t="s">
        <v>18</v>
      </c>
      <c r="C123" s="4">
        <v>0</v>
      </c>
      <c r="D123" s="4">
        <v>0</v>
      </c>
      <c r="F123" s="106" t="s">
        <v>202</v>
      </c>
      <c r="H123" s="61">
        <v>-9.0540000000000003</v>
      </c>
      <c r="I123" s="61">
        <v>-3.206</v>
      </c>
      <c r="J123" s="61">
        <v>-3.206</v>
      </c>
      <c r="K123" s="86">
        <v>0</v>
      </c>
      <c r="L123" s="86">
        <v>0</v>
      </c>
      <c r="M123" s="61">
        <v>0</v>
      </c>
      <c r="N123" s="61">
        <v>0</v>
      </c>
      <c r="O123" s="61">
        <v>0</v>
      </c>
      <c r="P123" s="61">
        <v>0</v>
      </c>
      <c r="Q123" s="61">
        <v>0</v>
      </c>
      <c r="R123" s="61">
        <v>0</v>
      </c>
      <c r="S123" s="61">
        <v>0</v>
      </c>
      <c r="T123" s="61">
        <v>0</v>
      </c>
      <c r="U123" s="61">
        <v>0</v>
      </c>
      <c r="V123" s="61">
        <v>0</v>
      </c>
      <c r="W123" s="61">
        <v>0</v>
      </c>
      <c r="X123" s="61">
        <v>0</v>
      </c>
      <c r="Y123" s="61">
        <v>0</v>
      </c>
      <c r="AA123" s="61">
        <v>0</v>
      </c>
      <c r="AB123" s="60">
        <v>0</v>
      </c>
      <c r="AD123" s="61">
        <v>0</v>
      </c>
      <c r="AE123" s="60">
        <v>0</v>
      </c>
    </row>
    <row r="124" spans="1:31" ht="18" hidden="1" customHeight="1" outlineLevel="1" x14ac:dyDescent="0.2">
      <c r="A124" s="30" t="s">
        <v>150</v>
      </c>
      <c r="B124" s="30" t="s">
        <v>18</v>
      </c>
      <c r="C124" s="4">
        <v>0</v>
      </c>
      <c r="D124" s="4">
        <v>0</v>
      </c>
      <c r="F124" s="38" t="s">
        <v>151</v>
      </c>
      <c r="G124" s="34"/>
      <c r="H124" s="66">
        <v>-3.4209999999999998</v>
      </c>
      <c r="I124" s="66">
        <v>-0.90900000000000003</v>
      </c>
      <c r="J124" s="66">
        <v>-0.90900000000000003</v>
      </c>
      <c r="K124" s="86">
        <v>0</v>
      </c>
      <c r="L124" s="86">
        <v>0</v>
      </c>
      <c r="M124" s="66">
        <v>0</v>
      </c>
      <c r="N124" s="66">
        <v>0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34"/>
      <c r="AA124" s="66">
        <v>0</v>
      </c>
      <c r="AB124" s="60">
        <v>0</v>
      </c>
      <c r="AC124" s="34"/>
      <c r="AD124" s="66">
        <v>0</v>
      </c>
      <c r="AE124" s="60">
        <v>0</v>
      </c>
    </row>
    <row r="125" spans="1:31" ht="18" hidden="1" customHeight="1" outlineLevel="1" x14ac:dyDescent="0.2">
      <c r="A125" s="30" t="s">
        <v>168</v>
      </c>
      <c r="B125" s="30" t="s">
        <v>18</v>
      </c>
      <c r="C125" s="4">
        <v>0</v>
      </c>
      <c r="D125" s="4">
        <v>0</v>
      </c>
      <c r="F125" s="38" t="s">
        <v>169</v>
      </c>
      <c r="G125" s="34"/>
      <c r="H125" s="66">
        <v>-2.468</v>
      </c>
      <c r="I125" s="66">
        <v>-0.754</v>
      </c>
      <c r="J125" s="66">
        <v>-0.754</v>
      </c>
      <c r="K125" s="86">
        <v>0</v>
      </c>
      <c r="L125" s="8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34"/>
      <c r="AA125" s="66">
        <v>0</v>
      </c>
      <c r="AB125" s="60">
        <v>0</v>
      </c>
      <c r="AC125" s="34"/>
      <c r="AD125" s="66">
        <v>0</v>
      </c>
      <c r="AE125" s="60">
        <v>0</v>
      </c>
    </row>
    <row r="126" spans="1:31" ht="18" hidden="1" customHeight="1" outlineLevel="1" x14ac:dyDescent="0.2">
      <c r="A126" s="30" t="s">
        <v>170</v>
      </c>
      <c r="B126" s="30" t="s">
        <v>18</v>
      </c>
      <c r="C126" s="4">
        <v>0</v>
      </c>
      <c r="D126" s="4">
        <v>0</v>
      </c>
      <c r="F126" s="38" t="s">
        <v>171</v>
      </c>
      <c r="G126" s="34"/>
      <c r="H126" s="66">
        <v>-0.71499999999999997</v>
      </c>
      <c r="I126" s="66">
        <v>-0.60499999999999998</v>
      </c>
      <c r="J126" s="66">
        <v>-0.60499999999999998</v>
      </c>
      <c r="K126" s="86">
        <v>0</v>
      </c>
      <c r="L126" s="8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34"/>
      <c r="AA126" s="66">
        <v>0</v>
      </c>
      <c r="AB126" s="60">
        <v>0</v>
      </c>
      <c r="AC126" s="34"/>
      <c r="AD126" s="66">
        <v>0</v>
      </c>
      <c r="AE126" s="60">
        <v>0</v>
      </c>
    </row>
    <row r="127" spans="1:31" ht="18" customHeight="1" collapsed="1" x14ac:dyDescent="0.2">
      <c r="A127" s="35"/>
      <c r="B127" s="35"/>
      <c r="C127" s="4">
        <v>0</v>
      </c>
      <c r="D127" s="4">
        <v>0</v>
      </c>
      <c r="F127" s="106" t="s">
        <v>151</v>
      </c>
      <c r="H127" s="61">
        <v>-6.6039999999999992</v>
      </c>
      <c r="I127" s="61">
        <v>-2.2679999999999998</v>
      </c>
      <c r="J127" s="61">
        <v>-2.2679999999999998</v>
      </c>
      <c r="K127" s="86">
        <v>0</v>
      </c>
      <c r="L127" s="86">
        <v>0</v>
      </c>
      <c r="M127" s="61">
        <v>0</v>
      </c>
      <c r="N127" s="61">
        <v>0</v>
      </c>
      <c r="O127" s="61">
        <v>0</v>
      </c>
      <c r="P127" s="61">
        <v>0</v>
      </c>
      <c r="Q127" s="61">
        <v>0</v>
      </c>
      <c r="R127" s="61">
        <v>0</v>
      </c>
      <c r="S127" s="61">
        <v>0</v>
      </c>
      <c r="T127" s="61">
        <v>0</v>
      </c>
      <c r="U127" s="61">
        <v>0</v>
      </c>
      <c r="V127" s="61">
        <v>0</v>
      </c>
      <c r="W127" s="61">
        <v>0</v>
      </c>
      <c r="X127" s="61">
        <v>0</v>
      </c>
      <c r="Y127" s="61">
        <v>0</v>
      </c>
      <c r="AA127" s="61">
        <v>0</v>
      </c>
      <c r="AB127" s="60">
        <v>0</v>
      </c>
      <c r="AD127" s="61">
        <v>0</v>
      </c>
      <c r="AE127" s="60">
        <v>0</v>
      </c>
    </row>
    <row r="128" spans="1:31" ht="18" customHeight="1" collapsed="1" x14ac:dyDescent="0.2">
      <c r="A128" s="30" t="s">
        <v>146</v>
      </c>
      <c r="B128" s="30" t="s">
        <v>18</v>
      </c>
      <c r="C128" s="4">
        <v>0</v>
      </c>
      <c r="D128" s="4">
        <v>0</v>
      </c>
      <c r="F128" s="106" t="s">
        <v>147</v>
      </c>
      <c r="H128" s="61">
        <v>-0.65500000000000003</v>
      </c>
      <c r="I128" s="61">
        <v>0</v>
      </c>
      <c r="J128" s="61">
        <v>0</v>
      </c>
      <c r="K128" s="86">
        <v>0</v>
      </c>
      <c r="L128" s="86">
        <v>0</v>
      </c>
      <c r="M128" s="61">
        <v>0</v>
      </c>
      <c r="N128" s="61">
        <v>0</v>
      </c>
      <c r="O128" s="61">
        <v>0</v>
      </c>
      <c r="P128" s="61">
        <v>0</v>
      </c>
      <c r="Q128" s="61">
        <v>0</v>
      </c>
      <c r="R128" s="61">
        <v>0</v>
      </c>
      <c r="S128" s="61">
        <v>0</v>
      </c>
      <c r="T128" s="61">
        <v>0</v>
      </c>
      <c r="U128" s="61">
        <v>0</v>
      </c>
      <c r="V128" s="61">
        <v>0</v>
      </c>
      <c r="W128" s="61">
        <v>0</v>
      </c>
      <c r="X128" s="61">
        <v>0</v>
      </c>
      <c r="Y128" s="61">
        <v>0</v>
      </c>
      <c r="AA128" s="61">
        <v>0</v>
      </c>
      <c r="AB128" s="60">
        <v>0</v>
      </c>
      <c r="AD128" s="61">
        <v>0</v>
      </c>
      <c r="AE128" s="60">
        <v>0</v>
      </c>
    </row>
    <row r="129" spans="1:31" ht="18" hidden="1" customHeight="1" outlineLevel="1" x14ac:dyDescent="0.2">
      <c r="A129" s="30" t="s">
        <v>154</v>
      </c>
      <c r="B129" s="30" t="s">
        <v>18</v>
      </c>
      <c r="C129" s="4">
        <v>0</v>
      </c>
      <c r="D129" s="4">
        <v>0</v>
      </c>
      <c r="F129" s="38" t="s">
        <v>155</v>
      </c>
      <c r="G129" s="34"/>
      <c r="H129" s="66">
        <v>-0.91900000000000004</v>
      </c>
      <c r="I129" s="66">
        <v>0</v>
      </c>
      <c r="J129" s="66">
        <v>0</v>
      </c>
      <c r="K129" s="86">
        <v>0</v>
      </c>
      <c r="L129" s="8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34"/>
      <c r="AA129" s="66">
        <v>0</v>
      </c>
      <c r="AB129" s="60">
        <v>0</v>
      </c>
      <c r="AC129" s="34"/>
      <c r="AD129" s="66">
        <v>0</v>
      </c>
      <c r="AE129" s="60">
        <v>0</v>
      </c>
    </row>
    <row r="130" spans="1:31" ht="18" hidden="1" customHeight="1" outlineLevel="1" x14ac:dyDescent="0.2">
      <c r="A130" s="30" t="s">
        <v>156</v>
      </c>
      <c r="B130" s="30" t="s">
        <v>18</v>
      </c>
      <c r="C130" s="4">
        <v>0</v>
      </c>
      <c r="D130" s="4">
        <v>0</v>
      </c>
      <c r="F130" s="38" t="s">
        <v>157</v>
      </c>
      <c r="G130" s="34"/>
      <c r="H130" s="66">
        <v>-1.1870000000000001</v>
      </c>
      <c r="I130" s="66">
        <v>0</v>
      </c>
      <c r="J130" s="66">
        <v>0</v>
      </c>
      <c r="K130" s="86">
        <v>0</v>
      </c>
      <c r="L130" s="8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34"/>
      <c r="AA130" s="66">
        <v>0</v>
      </c>
      <c r="AB130" s="60">
        <v>0</v>
      </c>
      <c r="AC130" s="34"/>
      <c r="AD130" s="66">
        <v>0</v>
      </c>
      <c r="AE130" s="60">
        <v>0</v>
      </c>
    </row>
    <row r="131" spans="1:31" ht="18" hidden="1" customHeight="1" outlineLevel="1" x14ac:dyDescent="0.2">
      <c r="A131" s="30" t="s">
        <v>160</v>
      </c>
      <c r="B131" s="30" t="s">
        <v>18</v>
      </c>
      <c r="C131" s="4">
        <v>0</v>
      </c>
      <c r="D131" s="4">
        <v>0</v>
      </c>
      <c r="F131" s="38" t="s">
        <v>161</v>
      </c>
      <c r="G131" s="34"/>
      <c r="H131" s="66">
        <v>2.9769999999999999</v>
      </c>
      <c r="I131" s="66">
        <v>0.40699999999999997</v>
      </c>
      <c r="J131" s="66">
        <v>0.40699999999999997</v>
      </c>
      <c r="K131" s="86">
        <v>0</v>
      </c>
      <c r="L131" s="8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34"/>
      <c r="AA131" s="66">
        <v>0</v>
      </c>
      <c r="AB131" s="60">
        <v>0</v>
      </c>
      <c r="AC131" s="34"/>
      <c r="AD131" s="66">
        <v>0</v>
      </c>
      <c r="AE131" s="60">
        <v>0</v>
      </c>
    </row>
    <row r="132" spans="1:31" ht="18" customHeight="1" collapsed="1" x14ac:dyDescent="0.2">
      <c r="A132" s="35"/>
      <c r="B132" s="35"/>
      <c r="C132" s="4">
        <v>0</v>
      </c>
      <c r="D132" s="4">
        <v>0</v>
      </c>
      <c r="F132" s="106" t="s">
        <v>378</v>
      </c>
      <c r="H132" s="61">
        <v>0.871</v>
      </c>
      <c r="I132" s="61">
        <v>0.40699999999999997</v>
      </c>
      <c r="J132" s="61">
        <v>0.40699999999999997</v>
      </c>
      <c r="K132" s="86">
        <v>0</v>
      </c>
      <c r="L132" s="86">
        <v>0</v>
      </c>
      <c r="M132" s="61">
        <v>0</v>
      </c>
      <c r="N132" s="61">
        <v>0</v>
      </c>
      <c r="O132" s="61">
        <v>0</v>
      </c>
      <c r="P132" s="61">
        <v>0</v>
      </c>
      <c r="Q132" s="61">
        <v>0</v>
      </c>
      <c r="R132" s="61">
        <v>0</v>
      </c>
      <c r="S132" s="61">
        <v>0</v>
      </c>
      <c r="T132" s="61">
        <v>0</v>
      </c>
      <c r="U132" s="61">
        <v>0</v>
      </c>
      <c r="V132" s="61">
        <v>0</v>
      </c>
      <c r="W132" s="61">
        <v>0</v>
      </c>
      <c r="X132" s="61">
        <v>0</v>
      </c>
      <c r="Y132" s="61">
        <v>0</v>
      </c>
      <c r="AA132" s="61">
        <v>0</v>
      </c>
      <c r="AB132" s="60">
        <v>0</v>
      </c>
      <c r="AD132" s="61">
        <v>0</v>
      </c>
      <c r="AE132" s="60">
        <v>0</v>
      </c>
    </row>
    <row r="133" spans="1:31" ht="18" hidden="1" customHeight="1" outlineLevel="1" x14ac:dyDescent="0.2">
      <c r="A133" s="30" t="s">
        <v>158</v>
      </c>
      <c r="B133" s="30" t="s">
        <v>18</v>
      </c>
      <c r="C133" s="4">
        <v>0</v>
      </c>
      <c r="D133" s="4">
        <v>0</v>
      </c>
      <c r="F133" s="38" t="s">
        <v>159</v>
      </c>
      <c r="G133" s="34"/>
      <c r="H133" s="66">
        <v>0</v>
      </c>
      <c r="I133" s="66">
        <v>0</v>
      </c>
      <c r="J133" s="66">
        <v>0</v>
      </c>
      <c r="K133" s="86">
        <v>0</v>
      </c>
      <c r="L133" s="8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34"/>
      <c r="AA133" s="66">
        <v>0</v>
      </c>
      <c r="AB133" s="60">
        <v>0</v>
      </c>
      <c r="AC133" s="34"/>
      <c r="AD133" s="66">
        <v>0</v>
      </c>
      <c r="AE133" s="60">
        <v>0</v>
      </c>
    </row>
    <row r="134" spans="1:31" ht="18" hidden="1" customHeight="1" outlineLevel="1" x14ac:dyDescent="0.2">
      <c r="A134" s="30" t="s">
        <v>152</v>
      </c>
      <c r="B134" s="30" t="s">
        <v>18</v>
      </c>
      <c r="C134" s="4">
        <v>0</v>
      </c>
      <c r="D134" s="4">
        <v>0</v>
      </c>
      <c r="F134" s="38" t="s">
        <v>153</v>
      </c>
      <c r="G134" s="34"/>
      <c r="H134" s="66">
        <v>0</v>
      </c>
      <c r="I134" s="66">
        <v>0</v>
      </c>
      <c r="J134" s="66">
        <v>0</v>
      </c>
      <c r="K134" s="86">
        <v>0</v>
      </c>
      <c r="L134" s="8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34"/>
      <c r="AA134" s="66">
        <v>0</v>
      </c>
      <c r="AB134" s="60">
        <v>0</v>
      </c>
      <c r="AC134" s="34"/>
      <c r="AD134" s="66">
        <v>0</v>
      </c>
      <c r="AE134" s="60">
        <v>0</v>
      </c>
    </row>
    <row r="135" spans="1:31" ht="18" hidden="1" customHeight="1" outlineLevel="1" x14ac:dyDescent="0.2">
      <c r="A135" s="30" t="s">
        <v>269</v>
      </c>
      <c r="B135" s="30" t="s">
        <v>18</v>
      </c>
      <c r="C135" s="4">
        <v>0</v>
      </c>
      <c r="D135" s="4">
        <v>0</v>
      </c>
      <c r="F135" s="38" t="s">
        <v>271</v>
      </c>
      <c r="G135" s="34"/>
      <c r="H135" s="66">
        <v>0</v>
      </c>
      <c r="I135" s="66">
        <v>0</v>
      </c>
      <c r="J135" s="66">
        <v>0</v>
      </c>
      <c r="K135" s="86">
        <v>0</v>
      </c>
      <c r="L135" s="8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34"/>
      <c r="AA135" s="66">
        <v>0</v>
      </c>
      <c r="AB135" s="60">
        <v>0</v>
      </c>
      <c r="AC135" s="34"/>
      <c r="AD135" s="66">
        <v>0</v>
      </c>
      <c r="AE135" s="60">
        <v>0</v>
      </c>
    </row>
    <row r="136" spans="1:31" ht="18" hidden="1" customHeight="1" outlineLevel="1" x14ac:dyDescent="0.2">
      <c r="A136" s="30" t="s">
        <v>270</v>
      </c>
      <c r="B136" s="30" t="s">
        <v>18</v>
      </c>
      <c r="C136" s="4">
        <v>0</v>
      </c>
      <c r="D136" s="4">
        <v>0</v>
      </c>
      <c r="F136" s="38" t="s">
        <v>272</v>
      </c>
      <c r="G136" s="34"/>
      <c r="H136" s="66">
        <v>0</v>
      </c>
      <c r="I136" s="66">
        <v>0</v>
      </c>
      <c r="J136" s="66">
        <v>0</v>
      </c>
      <c r="K136" s="86">
        <v>0</v>
      </c>
      <c r="L136" s="8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34"/>
      <c r="AA136" s="66">
        <v>0</v>
      </c>
      <c r="AB136" s="60">
        <v>0</v>
      </c>
      <c r="AC136" s="34"/>
      <c r="AD136" s="66">
        <v>0</v>
      </c>
      <c r="AE136" s="60">
        <v>0</v>
      </c>
    </row>
    <row r="137" spans="1:31" ht="18" hidden="1" customHeight="1" outlineLevel="1" x14ac:dyDescent="0.2">
      <c r="A137" s="30" t="s">
        <v>162</v>
      </c>
      <c r="B137" s="30" t="s">
        <v>18</v>
      </c>
      <c r="C137" s="4">
        <v>0</v>
      </c>
      <c r="D137" s="4">
        <v>0</v>
      </c>
      <c r="F137" s="38" t="s">
        <v>163</v>
      </c>
      <c r="G137" s="34"/>
      <c r="H137" s="66">
        <v>0</v>
      </c>
      <c r="I137" s="66">
        <v>0</v>
      </c>
      <c r="J137" s="66">
        <v>0</v>
      </c>
      <c r="K137" s="86">
        <v>0</v>
      </c>
      <c r="L137" s="8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34"/>
      <c r="AA137" s="66">
        <v>0</v>
      </c>
      <c r="AB137" s="60">
        <v>0</v>
      </c>
      <c r="AC137" s="34"/>
      <c r="AD137" s="66">
        <v>0</v>
      </c>
      <c r="AE137" s="60">
        <v>0</v>
      </c>
    </row>
    <row r="138" spans="1:31" ht="18" hidden="1" customHeight="1" outlineLevel="1" x14ac:dyDescent="0.2">
      <c r="A138" s="30" t="s">
        <v>164</v>
      </c>
      <c r="B138" s="30" t="s">
        <v>18</v>
      </c>
      <c r="C138" s="4">
        <v>0</v>
      </c>
      <c r="D138" s="4">
        <v>0</v>
      </c>
      <c r="F138" s="38" t="s">
        <v>165</v>
      </c>
      <c r="G138" s="34"/>
      <c r="H138" s="66">
        <v>0</v>
      </c>
      <c r="I138" s="66">
        <v>0</v>
      </c>
      <c r="J138" s="66">
        <v>0</v>
      </c>
      <c r="K138" s="86">
        <v>0</v>
      </c>
      <c r="L138" s="8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34"/>
      <c r="AA138" s="66">
        <v>0</v>
      </c>
      <c r="AB138" s="60">
        <v>0</v>
      </c>
      <c r="AC138" s="34"/>
      <c r="AD138" s="66">
        <v>0</v>
      </c>
      <c r="AE138" s="60">
        <v>0</v>
      </c>
    </row>
    <row r="139" spans="1:31" ht="18" hidden="1" customHeight="1" outlineLevel="1" x14ac:dyDescent="0.2">
      <c r="A139" s="30" t="s">
        <v>166</v>
      </c>
      <c r="B139" s="30" t="s">
        <v>18</v>
      </c>
      <c r="C139" s="4">
        <v>0</v>
      </c>
      <c r="D139" s="4">
        <v>0</v>
      </c>
      <c r="F139" s="38" t="s">
        <v>167</v>
      </c>
      <c r="G139" s="34"/>
      <c r="H139" s="66">
        <v>0</v>
      </c>
      <c r="I139" s="66">
        <v>0</v>
      </c>
      <c r="J139" s="66">
        <v>0</v>
      </c>
      <c r="K139" s="86">
        <v>0</v>
      </c>
      <c r="L139" s="8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34"/>
      <c r="AA139" s="66">
        <v>0</v>
      </c>
      <c r="AB139" s="60">
        <v>0</v>
      </c>
      <c r="AC139" s="34"/>
      <c r="AD139" s="66">
        <v>0</v>
      </c>
      <c r="AE139" s="60">
        <v>0</v>
      </c>
    </row>
    <row r="140" spans="1:31" ht="18" customHeight="1" collapsed="1" x14ac:dyDescent="0.2">
      <c r="A140" s="30" t="s">
        <v>408</v>
      </c>
      <c r="B140" s="30" t="s">
        <v>18</v>
      </c>
      <c r="C140" s="4"/>
      <c r="D140" s="4"/>
      <c r="F140" s="106" t="s">
        <v>409</v>
      </c>
      <c r="G140" s="34"/>
      <c r="H140" s="61">
        <v>-0.35499999999999998</v>
      </c>
      <c r="I140" s="61">
        <v>-0.16200000000000001</v>
      </c>
      <c r="J140" s="61">
        <v>-0.16200000000000001</v>
      </c>
      <c r="K140" s="86">
        <v>0</v>
      </c>
      <c r="L140" s="86">
        <v>0</v>
      </c>
      <c r="M140" s="61">
        <v>0</v>
      </c>
      <c r="N140" s="197">
        <v>0</v>
      </c>
      <c r="O140" s="61">
        <v>0</v>
      </c>
      <c r="P140" s="61">
        <v>0</v>
      </c>
      <c r="Q140" s="61">
        <v>0</v>
      </c>
      <c r="R140" s="61">
        <v>0</v>
      </c>
      <c r="S140" s="61">
        <v>0</v>
      </c>
      <c r="T140" s="61">
        <v>0</v>
      </c>
      <c r="U140" s="61">
        <v>0</v>
      </c>
      <c r="V140" s="61">
        <v>0</v>
      </c>
      <c r="W140" s="61">
        <v>0</v>
      </c>
      <c r="X140" s="61">
        <v>0</v>
      </c>
      <c r="Y140" s="61">
        <v>0</v>
      </c>
      <c r="AA140" s="257">
        <v>0</v>
      </c>
      <c r="AB140" s="60">
        <v>0</v>
      </c>
      <c r="AD140" s="61">
        <v>0</v>
      </c>
      <c r="AE140" s="60">
        <v>0</v>
      </c>
    </row>
    <row r="141" spans="1:31" ht="18" customHeight="1" x14ac:dyDescent="0.2">
      <c r="A141" s="35"/>
      <c r="B141" s="35"/>
      <c r="C141" s="4">
        <v>0</v>
      </c>
      <c r="D141" s="4">
        <v>0</v>
      </c>
      <c r="F141" s="106" t="s">
        <v>189</v>
      </c>
      <c r="H141" s="61">
        <v>0</v>
      </c>
      <c r="I141" s="61">
        <v>0</v>
      </c>
      <c r="J141" s="61">
        <v>0</v>
      </c>
      <c r="K141" s="86">
        <v>0</v>
      </c>
      <c r="L141" s="86">
        <v>0</v>
      </c>
      <c r="M141" s="61">
        <v>0</v>
      </c>
      <c r="N141" s="61">
        <v>0</v>
      </c>
      <c r="O141" s="61">
        <v>0</v>
      </c>
      <c r="P141" s="61">
        <v>0</v>
      </c>
      <c r="Q141" s="61">
        <v>0</v>
      </c>
      <c r="R141" s="61">
        <v>0</v>
      </c>
      <c r="S141" s="61">
        <v>0</v>
      </c>
      <c r="T141" s="61">
        <v>0</v>
      </c>
      <c r="U141" s="61">
        <v>0</v>
      </c>
      <c r="V141" s="61">
        <v>0</v>
      </c>
      <c r="W141" s="61">
        <v>0</v>
      </c>
      <c r="X141" s="61">
        <v>0</v>
      </c>
      <c r="Y141" s="61">
        <v>0</v>
      </c>
      <c r="AA141" s="61">
        <v>0</v>
      </c>
      <c r="AB141" s="60">
        <v>0</v>
      </c>
      <c r="AD141" s="61">
        <v>0</v>
      </c>
      <c r="AE141" s="60">
        <v>0</v>
      </c>
    </row>
    <row r="142" spans="1:31" ht="18" customHeight="1" x14ac:dyDescent="0.2">
      <c r="A142" s="35"/>
      <c r="B142" s="35"/>
      <c r="C142" s="4">
        <v>0</v>
      </c>
      <c r="D142" s="4">
        <v>0</v>
      </c>
      <c r="F142" s="95" t="s">
        <v>65</v>
      </c>
      <c r="H142" s="195">
        <v>-26.516000000000002</v>
      </c>
      <c r="I142" s="195">
        <v>-9.1270000000000007</v>
      </c>
      <c r="J142" s="64">
        <v>-9.1270000000000007</v>
      </c>
      <c r="K142" s="89">
        <v>0</v>
      </c>
      <c r="L142" s="89">
        <v>0</v>
      </c>
      <c r="M142" s="64">
        <v>0</v>
      </c>
      <c r="N142" s="64">
        <v>0</v>
      </c>
      <c r="O142" s="64">
        <v>0</v>
      </c>
      <c r="P142" s="64">
        <v>0</v>
      </c>
      <c r="Q142" s="64">
        <v>0</v>
      </c>
      <c r="R142" s="64">
        <v>0</v>
      </c>
      <c r="S142" s="64">
        <v>0</v>
      </c>
      <c r="T142" s="64">
        <v>0</v>
      </c>
      <c r="U142" s="64">
        <v>0</v>
      </c>
      <c r="V142" s="64">
        <v>0</v>
      </c>
      <c r="W142" s="64">
        <v>0</v>
      </c>
      <c r="X142" s="64">
        <v>0</v>
      </c>
      <c r="Y142" s="64">
        <v>0</v>
      </c>
      <c r="AA142" s="64">
        <v>0</v>
      </c>
      <c r="AB142" s="60">
        <v>0</v>
      </c>
      <c r="AD142" s="64">
        <v>0</v>
      </c>
      <c r="AE142" s="60">
        <v>0</v>
      </c>
    </row>
    <row r="143" spans="1:31" ht="12.95" customHeight="1" x14ac:dyDescent="0.2">
      <c r="A143" s="35"/>
      <c r="B143" s="35"/>
      <c r="C143" s="4"/>
      <c r="D143" s="4"/>
      <c r="F143" s="39" t="s">
        <v>223</v>
      </c>
      <c r="H143" s="56">
        <v>5.736960077542861E-2</v>
      </c>
      <c r="I143" s="56">
        <v>8.0867238446271625E-2</v>
      </c>
      <c r="J143" s="56">
        <v>8.0867238446271625E-2</v>
      </c>
      <c r="K143" s="109" t="e">
        <v>#DIV/0!</v>
      </c>
      <c r="L143" s="109" t="e">
        <v>#DIV/0!</v>
      </c>
      <c r="M143" s="56" t="e">
        <v>#DIV/0!</v>
      </c>
      <c r="N143" s="56">
        <v>0</v>
      </c>
      <c r="O143" s="56" t="e">
        <v>#DIV/0!</v>
      </c>
      <c r="P143" s="56" t="e">
        <v>#DIV/0!</v>
      </c>
      <c r="Q143" s="56" t="e">
        <v>#DIV/0!</v>
      </c>
      <c r="R143" s="56">
        <v>0</v>
      </c>
      <c r="S143" s="56">
        <v>0</v>
      </c>
      <c r="T143" s="56" t="e">
        <v>#DIV/0!</v>
      </c>
      <c r="U143" s="56" t="e">
        <v>#DIV/0!</v>
      </c>
      <c r="V143" s="56" t="e">
        <v>#DIV/0!</v>
      </c>
      <c r="W143" s="56" t="e">
        <v>#DIV/0!</v>
      </c>
      <c r="X143" s="56">
        <v>0</v>
      </c>
      <c r="Y143" s="56">
        <v>0</v>
      </c>
      <c r="AA143" s="56" t="e">
        <v>#DIV/0!</v>
      </c>
      <c r="AB143" s="57"/>
      <c r="AD143" s="56" t="e">
        <v>#DIV/0!</v>
      </c>
      <c r="AE143" s="57"/>
    </row>
    <row r="144" spans="1:31" ht="6.95" customHeight="1" x14ac:dyDescent="0.2">
      <c r="C144" s="4"/>
      <c r="D144" s="4"/>
      <c r="F144" s="96"/>
      <c r="H144" s="16"/>
      <c r="I144" s="16"/>
      <c r="J144" s="16"/>
      <c r="K144" s="85"/>
      <c r="L144" s="85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AA144" s="16"/>
      <c r="AB144" s="20"/>
      <c r="AD144" s="16"/>
      <c r="AE144" s="20"/>
    </row>
    <row r="145" spans="1:31" ht="18" hidden="1" customHeight="1" outlineLevel="1" collapsed="1" x14ac:dyDescent="0.2">
      <c r="A145" s="35"/>
      <c r="B145" s="35"/>
      <c r="C145" s="4"/>
      <c r="D145" s="4"/>
      <c r="F145" s="97" t="s">
        <v>242</v>
      </c>
      <c r="H145" s="74">
        <v>3.7199999999999998E-3</v>
      </c>
      <c r="I145" s="74">
        <v>1.0920000000000001E-2</v>
      </c>
      <c r="J145" s="74">
        <v>1.0920000000000001E-2</v>
      </c>
      <c r="K145" s="112">
        <v>0</v>
      </c>
      <c r="L145" s="112">
        <v>0</v>
      </c>
      <c r="M145" s="74">
        <v>0</v>
      </c>
      <c r="N145" s="74">
        <v>0</v>
      </c>
      <c r="O145" s="74">
        <v>0</v>
      </c>
      <c r="P145" s="74">
        <v>0</v>
      </c>
      <c r="Q145" s="74">
        <v>0</v>
      </c>
      <c r="R145" s="74">
        <v>0</v>
      </c>
      <c r="S145" s="74">
        <v>0</v>
      </c>
      <c r="T145" s="74">
        <v>0</v>
      </c>
      <c r="U145" s="74">
        <v>0</v>
      </c>
      <c r="V145" s="74">
        <v>0</v>
      </c>
      <c r="W145" s="74">
        <v>0</v>
      </c>
      <c r="X145" s="74">
        <v>0</v>
      </c>
      <c r="Y145" s="74">
        <v>0</v>
      </c>
      <c r="AA145" s="74">
        <v>0</v>
      </c>
      <c r="AB145" s="73">
        <v>0</v>
      </c>
      <c r="AD145" s="74">
        <v>0</v>
      </c>
      <c r="AE145" s="73">
        <v>0</v>
      </c>
    </row>
    <row r="146" spans="1:31" ht="18" customHeight="1" collapsed="1" x14ac:dyDescent="0.2">
      <c r="A146" s="30" t="s">
        <v>79</v>
      </c>
      <c r="B146" s="30" t="s">
        <v>18</v>
      </c>
      <c r="C146" s="4">
        <v>0</v>
      </c>
      <c r="D146" s="4">
        <v>0</v>
      </c>
      <c r="F146" s="106" t="s">
        <v>83</v>
      </c>
      <c r="H146" s="61">
        <v>-0.186</v>
      </c>
      <c r="I146" s="61">
        <v>-0.54600000000000004</v>
      </c>
      <c r="J146" s="61">
        <v>-0.54600000000000004</v>
      </c>
      <c r="K146" s="86">
        <v>0</v>
      </c>
      <c r="L146" s="86">
        <v>0</v>
      </c>
      <c r="M146" s="61">
        <v>0</v>
      </c>
      <c r="N146" s="61">
        <v>0</v>
      </c>
      <c r="O146" s="61">
        <v>0</v>
      </c>
      <c r="P146" s="61">
        <v>0</v>
      </c>
      <c r="Q146" s="61">
        <v>0</v>
      </c>
      <c r="R146" s="61">
        <v>0</v>
      </c>
      <c r="S146" s="61">
        <v>0</v>
      </c>
      <c r="T146" s="61">
        <v>0</v>
      </c>
      <c r="U146" s="61">
        <v>0</v>
      </c>
      <c r="V146" s="61">
        <v>0</v>
      </c>
      <c r="W146" s="61">
        <v>0</v>
      </c>
      <c r="X146" s="61">
        <v>0</v>
      </c>
      <c r="Y146" s="61">
        <v>0</v>
      </c>
      <c r="AA146" s="61">
        <v>0</v>
      </c>
      <c r="AB146" s="60">
        <v>0</v>
      </c>
      <c r="AD146" s="61">
        <v>0</v>
      </c>
      <c r="AE146" s="60">
        <v>0</v>
      </c>
    </row>
    <row r="147" spans="1:31" ht="18" customHeight="1" x14ac:dyDescent="0.2">
      <c r="A147" s="30" t="s">
        <v>80</v>
      </c>
      <c r="B147" s="30" t="s">
        <v>18</v>
      </c>
      <c r="C147" s="4">
        <v>0</v>
      </c>
      <c r="D147" s="4">
        <v>0</v>
      </c>
      <c r="F147" s="106" t="s">
        <v>84</v>
      </c>
      <c r="H147" s="61">
        <v>0</v>
      </c>
      <c r="I147" s="61">
        <v>0</v>
      </c>
      <c r="J147" s="61">
        <v>0</v>
      </c>
      <c r="K147" s="86">
        <v>0</v>
      </c>
      <c r="L147" s="86">
        <v>0</v>
      </c>
      <c r="M147" s="61">
        <v>0</v>
      </c>
      <c r="N147" s="61">
        <v>0</v>
      </c>
      <c r="O147" s="61">
        <v>0</v>
      </c>
      <c r="P147" s="61">
        <v>0</v>
      </c>
      <c r="Q147" s="61">
        <v>0</v>
      </c>
      <c r="R147" s="61">
        <v>0</v>
      </c>
      <c r="S147" s="61">
        <v>0</v>
      </c>
      <c r="T147" s="61">
        <v>0</v>
      </c>
      <c r="U147" s="61">
        <v>0</v>
      </c>
      <c r="V147" s="61">
        <v>0</v>
      </c>
      <c r="W147" s="61">
        <v>0</v>
      </c>
      <c r="X147" s="61">
        <v>0</v>
      </c>
      <c r="Y147" s="61">
        <v>0</v>
      </c>
      <c r="AA147" s="61">
        <v>0</v>
      </c>
      <c r="AB147" s="60">
        <v>0</v>
      </c>
      <c r="AD147" s="61">
        <v>0</v>
      </c>
      <c r="AE147" s="60">
        <v>0</v>
      </c>
    </row>
    <row r="148" spans="1:31" ht="18" customHeight="1" x14ac:dyDescent="0.2">
      <c r="A148" s="30" t="s">
        <v>81</v>
      </c>
      <c r="B148" s="30" t="s">
        <v>18</v>
      </c>
      <c r="C148" s="4">
        <v>0</v>
      </c>
      <c r="D148" s="4">
        <v>0</v>
      </c>
      <c r="F148" s="106" t="s">
        <v>85</v>
      </c>
      <c r="H148" s="61">
        <v>-1.3140000000000001</v>
      </c>
      <c r="I148" s="61">
        <v>-0.441</v>
      </c>
      <c r="J148" s="61">
        <v>-0.441</v>
      </c>
      <c r="K148" s="86">
        <v>0</v>
      </c>
      <c r="L148" s="86">
        <v>0</v>
      </c>
      <c r="M148" s="61">
        <v>0</v>
      </c>
      <c r="N148" s="61">
        <v>0</v>
      </c>
      <c r="O148" s="61">
        <v>0</v>
      </c>
      <c r="P148" s="61">
        <v>0</v>
      </c>
      <c r="Q148" s="61">
        <v>0</v>
      </c>
      <c r="R148" s="61">
        <v>0</v>
      </c>
      <c r="S148" s="61">
        <v>0</v>
      </c>
      <c r="T148" s="61">
        <v>0</v>
      </c>
      <c r="U148" s="61">
        <v>0</v>
      </c>
      <c r="V148" s="61">
        <v>0</v>
      </c>
      <c r="W148" s="61">
        <v>0</v>
      </c>
      <c r="X148" s="61">
        <v>0</v>
      </c>
      <c r="Y148" s="61">
        <v>0</v>
      </c>
      <c r="AA148" s="61">
        <v>0</v>
      </c>
      <c r="AB148" s="60">
        <v>0</v>
      </c>
      <c r="AD148" s="61">
        <v>0</v>
      </c>
      <c r="AE148" s="60">
        <v>0</v>
      </c>
    </row>
    <row r="149" spans="1:31" ht="18" customHeight="1" x14ac:dyDescent="0.2">
      <c r="A149" s="30" t="s">
        <v>204</v>
      </c>
      <c r="B149" s="30" t="s">
        <v>18</v>
      </c>
      <c r="C149" s="4">
        <v>-1</v>
      </c>
      <c r="D149" s="4">
        <v>-1</v>
      </c>
      <c r="F149" s="104" t="s">
        <v>139</v>
      </c>
      <c r="G149" s="36"/>
      <c r="H149" s="65">
        <v>3</v>
      </c>
      <c r="I149" s="65">
        <v>0.5</v>
      </c>
      <c r="J149" s="65">
        <v>0.5</v>
      </c>
      <c r="K149" s="65">
        <v>0</v>
      </c>
      <c r="L149" s="65">
        <v>0</v>
      </c>
      <c r="M149" s="65">
        <v>0</v>
      </c>
      <c r="N149" s="65">
        <v>-10</v>
      </c>
      <c r="O149" s="65">
        <v>0</v>
      </c>
      <c r="P149" s="65">
        <v>0</v>
      </c>
      <c r="Q149" s="65">
        <v>0</v>
      </c>
      <c r="R149" s="65">
        <v>0</v>
      </c>
      <c r="S149" s="65">
        <v>0</v>
      </c>
      <c r="T149" s="65">
        <v>0</v>
      </c>
      <c r="U149" s="65">
        <v>0</v>
      </c>
      <c r="V149" s="65">
        <v>0</v>
      </c>
      <c r="W149" s="65">
        <v>0</v>
      </c>
      <c r="X149" s="65">
        <v>0.58999999999999986</v>
      </c>
      <c r="Y149" s="65">
        <v>-9.41</v>
      </c>
      <c r="Z149" s="36"/>
      <c r="AA149" s="65">
        <v>0</v>
      </c>
      <c r="AB149" s="60">
        <v>-9.41</v>
      </c>
      <c r="AC149" s="36"/>
      <c r="AD149" s="65">
        <v>0</v>
      </c>
      <c r="AE149" s="60">
        <v>-9.41</v>
      </c>
    </row>
    <row r="150" spans="1:31" ht="18" customHeight="1" x14ac:dyDescent="0.2">
      <c r="A150" s="30" t="s">
        <v>82</v>
      </c>
      <c r="B150" s="30" t="s">
        <v>18</v>
      </c>
      <c r="C150" s="4">
        <v>0</v>
      </c>
      <c r="D150" s="4">
        <v>0</v>
      </c>
      <c r="F150" s="106" t="s">
        <v>86</v>
      </c>
      <c r="H150" s="61">
        <v>0</v>
      </c>
      <c r="I150" s="61">
        <v>0</v>
      </c>
      <c r="J150" s="61">
        <v>0</v>
      </c>
      <c r="K150" s="86">
        <v>0</v>
      </c>
      <c r="L150" s="86">
        <v>0</v>
      </c>
      <c r="M150" s="61">
        <v>0</v>
      </c>
      <c r="N150" s="61">
        <v>0</v>
      </c>
      <c r="O150" s="61">
        <v>0</v>
      </c>
      <c r="P150" s="61">
        <v>0</v>
      </c>
      <c r="Q150" s="61">
        <v>0</v>
      </c>
      <c r="R150" s="61">
        <v>0</v>
      </c>
      <c r="S150" s="61">
        <v>0</v>
      </c>
      <c r="T150" s="61">
        <v>0</v>
      </c>
      <c r="U150" s="61">
        <v>0</v>
      </c>
      <c r="V150" s="61">
        <v>0</v>
      </c>
      <c r="W150" s="61">
        <v>0</v>
      </c>
      <c r="X150" s="61">
        <v>0</v>
      </c>
      <c r="Y150" s="61">
        <v>0</v>
      </c>
      <c r="AA150" s="61">
        <v>0</v>
      </c>
      <c r="AB150" s="60">
        <v>0</v>
      </c>
      <c r="AD150" s="61">
        <v>0</v>
      </c>
      <c r="AE150" s="60">
        <v>0</v>
      </c>
    </row>
    <row r="151" spans="1:31" ht="18" hidden="1" customHeight="1" outlineLevel="1" x14ac:dyDescent="0.2">
      <c r="A151" s="30" t="s">
        <v>140</v>
      </c>
      <c r="B151" s="30" t="s">
        <v>18</v>
      </c>
      <c r="C151" s="4">
        <v>0</v>
      </c>
      <c r="D151" s="4">
        <v>0</v>
      </c>
      <c r="F151" s="38" t="s">
        <v>141</v>
      </c>
      <c r="G151" s="34"/>
      <c r="H151" s="66">
        <v>0</v>
      </c>
      <c r="I151" s="66">
        <v>0</v>
      </c>
      <c r="J151" s="66">
        <v>0</v>
      </c>
      <c r="K151" s="86">
        <v>0</v>
      </c>
      <c r="L151" s="8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34"/>
      <c r="AA151" s="66">
        <v>0</v>
      </c>
      <c r="AB151" s="60">
        <v>0</v>
      </c>
      <c r="AC151" s="34"/>
      <c r="AD151" s="66">
        <v>0</v>
      </c>
      <c r="AE151" s="60">
        <v>0</v>
      </c>
    </row>
    <row r="152" spans="1:31" ht="18" hidden="1" customHeight="1" outlineLevel="1" x14ac:dyDescent="0.2">
      <c r="A152" s="30" t="s">
        <v>123</v>
      </c>
      <c r="B152" s="30" t="s">
        <v>18</v>
      </c>
      <c r="C152" s="4">
        <v>0</v>
      </c>
      <c r="D152" s="4">
        <v>0</v>
      </c>
      <c r="F152" s="38" t="s">
        <v>142</v>
      </c>
      <c r="G152" s="34"/>
      <c r="H152" s="66">
        <v>0</v>
      </c>
      <c r="I152" s="66">
        <v>0</v>
      </c>
      <c r="J152" s="66">
        <v>0</v>
      </c>
      <c r="K152" s="86">
        <v>0</v>
      </c>
      <c r="L152" s="8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34"/>
      <c r="AA152" s="66">
        <v>0</v>
      </c>
      <c r="AB152" s="60">
        <v>0</v>
      </c>
      <c r="AC152" s="34"/>
      <c r="AD152" s="66">
        <v>0</v>
      </c>
      <c r="AE152" s="60">
        <v>0</v>
      </c>
    </row>
    <row r="153" spans="1:31" ht="18" hidden="1" customHeight="1" outlineLevel="1" x14ac:dyDescent="0.2">
      <c r="A153" s="30" t="s">
        <v>124</v>
      </c>
      <c r="B153" s="30" t="s">
        <v>18</v>
      </c>
      <c r="C153" s="4">
        <v>0</v>
      </c>
      <c r="D153" s="4">
        <v>0</v>
      </c>
      <c r="F153" s="38" t="s">
        <v>143</v>
      </c>
      <c r="G153" s="34"/>
      <c r="H153" s="66">
        <v>0</v>
      </c>
      <c r="I153" s="66">
        <v>0</v>
      </c>
      <c r="J153" s="66">
        <v>0</v>
      </c>
      <c r="K153" s="86">
        <v>0</v>
      </c>
      <c r="L153" s="8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34"/>
      <c r="AA153" s="66">
        <v>0</v>
      </c>
      <c r="AB153" s="60">
        <v>0</v>
      </c>
      <c r="AC153" s="34"/>
      <c r="AD153" s="66">
        <v>0</v>
      </c>
      <c r="AE153" s="60">
        <v>0</v>
      </c>
    </row>
    <row r="154" spans="1:31" ht="18" hidden="1" customHeight="1" outlineLevel="1" x14ac:dyDescent="0.2">
      <c r="A154" s="30" t="s">
        <v>265</v>
      </c>
      <c r="B154" s="30" t="s">
        <v>18</v>
      </c>
      <c r="C154" s="4">
        <v>0</v>
      </c>
      <c r="D154" s="4">
        <v>0</v>
      </c>
      <c r="F154" s="38" t="s">
        <v>266</v>
      </c>
      <c r="G154" s="34"/>
      <c r="H154" s="66">
        <v>0</v>
      </c>
      <c r="I154" s="66">
        <v>0</v>
      </c>
      <c r="J154" s="66">
        <v>0</v>
      </c>
      <c r="K154" s="86">
        <v>0</v>
      </c>
      <c r="L154" s="8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34"/>
      <c r="AA154" s="66">
        <v>0</v>
      </c>
      <c r="AB154" s="60">
        <v>0</v>
      </c>
      <c r="AC154" s="34"/>
      <c r="AD154" s="66">
        <v>0</v>
      </c>
      <c r="AE154" s="60">
        <v>0</v>
      </c>
    </row>
    <row r="155" spans="1:31" ht="18" hidden="1" customHeight="1" outlineLevel="1" x14ac:dyDescent="0.2">
      <c r="A155" s="30" t="s">
        <v>144</v>
      </c>
      <c r="B155" s="30" t="s">
        <v>18</v>
      </c>
      <c r="C155" s="4">
        <v>0</v>
      </c>
      <c r="D155" s="4">
        <v>0</v>
      </c>
      <c r="F155" s="38" t="s">
        <v>145</v>
      </c>
      <c r="G155" s="34"/>
      <c r="H155" s="66">
        <v>0</v>
      </c>
      <c r="I155" s="66">
        <v>0</v>
      </c>
      <c r="J155" s="66">
        <v>0</v>
      </c>
      <c r="K155" s="86">
        <v>0</v>
      </c>
      <c r="L155" s="8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34"/>
      <c r="AA155" s="66">
        <v>0</v>
      </c>
      <c r="AB155" s="60">
        <v>0</v>
      </c>
      <c r="AC155" s="34"/>
      <c r="AD155" s="66">
        <v>0</v>
      </c>
      <c r="AE155" s="60">
        <v>0</v>
      </c>
    </row>
    <row r="156" spans="1:31" ht="18" customHeight="1" collapsed="1" x14ac:dyDescent="0.2">
      <c r="A156" s="35"/>
      <c r="B156" s="35"/>
      <c r="C156" s="4">
        <v>0</v>
      </c>
      <c r="D156" s="4">
        <v>0</v>
      </c>
      <c r="F156" s="106" t="s">
        <v>69</v>
      </c>
      <c r="H156" s="61">
        <v>0</v>
      </c>
      <c r="I156" s="61">
        <v>0</v>
      </c>
      <c r="J156" s="61">
        <v>0</v>
      </c>
      <c r="K156" s="86">
        <v>0</v>
      </c>
      <c r="L156" s="86">
        <v>0</v>
      </c>
      <c r="M156" s="61">
        <v>0</v>
      </c>
      <c r="N156" s="61">
        <v>0</v>
      </c>
      <c r="O156" s="61">
        <v>0</v>
      </c>
      <c r="P156" s="61">
        <v>0</v>
      </c>
      <c r="Q156" s="61">
        <v>0</v>
      </c>
      <c r="R156" s="61">
        <v>0</v>
      </c>
      <c r="S156" s="61">
        <v>0</v>
      </c>
      <c r="T156" s="61">
        <v>0</v>
      </c>
      <c r="U156" s="61">
        <v>0</v>
      </c>
      <c r="V156" s="61">
        <v>0</v>
      </c>
      <c r="W156" s="61">
        <v>0</v>
      </c>
      <c r="X156" s="61">
        <v>0</v>
      </c>
      <c r="Y156" s="61">
        <v>0</v>
      </c>
      <c r="AA156" s="61">
        <v>0</v>
      </c>
      <c r="AB156" s="60">
        <v>0</v>
      </c>
      <c r="AD156" s="61">
        <v>0</v>
      </c>
      <c r="AE156" s="60">
        <v>0</v>
      </c>
    </row>
    <row r="157" spans="1:31" ht="18" customHeight="1" x14ac:dyDescent="0.2">
      <c r="A157" s="35"/>
      <c r="B157" s="35"/>
      <c r="C157" s="4">
        <v>-1</v>
      </c>
      <c r="D157" s="4">
        <v>-1</v>
      </c>
      <c r="F157" s="95" t="s">
        <v>276</v>
      </c>
      <c r="H157" s="64">
        <v>1.5</v>
      </c>
      <c r="I157" s="64">
        <v>-0.4870000000000001</v>
      </c>
      <c r="J157" s="64">
        <v>-0.4870000000000001</v>
      </c>
      <c r="K157" s="89">
        <v>0</v>
      </c>
      <c r="L157" s="89">
        <v>0</v>
      </c>
      <c r="M157" s="64">
        <v>0</v>
      </c>
      <c r="N157" s="64">
        <v>-10</v>
      </c>
      <c r="O157" s="64">
        <v>0</v>
      </c>
      <c r="P157" s="64">
        <v>0</v>
      </c>
      <c r="Q157" s="64">
        <v>0</v>
      </c>
      <c r="R157" s="64">
        <v>0</v>
      </c>
      <c r="S157" s="64">
        <v>0</v>
      </c>
      <c r="T157" s="64">
        <v>0</v>
      </c>
      <c r="U157" s="64">
        <v>0</v>
      </c>
      <c r="V157" s="64">
        <v>0</v>
      </c>
      <c r="W157" s="64">
        <v>0</v>
      </c>
      <c r="X157" s="64">
        <v>0.58999999999999986</v>
      </c>
      <c r="Y157" s="64">
        <v>-9.41</v>
      </c>
      <c r="AA157" s="64">
        <v>0</v>
      </c>
      <c r="AB157" s="60">
        <v>-9.41</v>
      </c>
      <c r="AD157" s="64">
        <v>0</v>
      </c>
      <c r="AE157" s="60">
        <v>-9.41</v>
      </c>
    </row>
    <row r="158" spans="1:31" ht="12.95" customHeight="1" x14ac:dyDescent="0.2">
      <c r="A158" s="35"/>
      <c r="B158" s="35"/>
      <c r="C158" s="4"/>
      <c r="D158" s="4"/>
      <c r="F158" s="39" t="s">
        <v>223</v>
      </c>
      <c r="H158" s="56">
        <v>-3.2453764203930796E-3</v>
      </c>
      <c r="I158" s="56">
        <v>4.3149277005954077E-3</v>
      </c>
      <c r="J158" s="56">
        <v>4.3149277005954077E-3</v>
      </c>
      <c r="K158" s="109" t="e">
        <v>#DIV/0!</v>
      </c>
      <c r="L158" s="109" t="e">
        <v>#DIV/0!</v>
      </c>
      <c r="M158" s="56" t="e">
        <v>#DIV/0!</v>
      </c>
      <c r="N158" s="56">
        <v>20.040080160320642</v>
      </c>
      <c r="O158" s="56" t="e">
        <v>#DIV/0!</v>
      </c>
      <c r="P158" s="56" t="e">
        <v>#DIV/0!</v>
      </c>
      <c r="Q158" s="56" t="e">
        <v>#DIV/0!</v>
      </c>
      <c r="R158" s="56">
        <v>0</v>
      </c>
      <c r="S158" s="56">
        <v>0</v>
      </c>
      <c r="T158" s="56" t="e">
        <v>#DIV/0!</v>
      </c>
      <c r="U158" s="56" t="e">
        <v>#DIV/0!</v>
      </c>
      <c r="V158" s="56" t="e">
        <v>#DIV/0!</v>
      </c>
      <c r="W158" s="56" t="e">
        <v>#DIV/0!</v>
      </c>
      <c r="X158" s="56">
        <v>-2.2692307692307687</v>
      </c>
      <c r="Y158" s="56">
        <v>6.5758211041229906</v>
      </c>
      <c r="AA158" s="56" t="e">
        <v>#DIV/0!</v>
      </c>
      <c r="AB158" s="57"/>
      <c r="AD158" s="56" t="e">
        <v>#DIV/0!</v>
      </c>
      <c r="AE158" s="57"/>
    </row>
    <row r="159" spans="1:31" ht="6.95" customHeight="1" x14ac:dyDescent="0.2">
      <c r="C159" s="4"/>
      <c r="D159" s="4"/>
      <c r="F159" s="96"/>
      <c r="H159" s="16"/>
      <c r="I159" s="16"/>
      <c r="J159" s="16"/>
      <c r="K159" s="85"/>
      <c r="L159" s="85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AA159" s="16"/>
      <c r="AB159" s="20"/>
      <c r="AD159" s="16"/>
      <c r="AE159" s="20"/>
    </row>
    <row r="160" spans="1:31" ht="18" customHeight="1" x14ac:dyDescent="0.2">
      <c r="A160" s="30" t="s">
        <v>89</v>
      </c>
      <c r="B160" s="30" t="s">
        <v>18</v>
      </c>
      <c r="C160" s="4">
        <v>-1.0526315789473684</v>
      </c>
      <c r="D160" s="4">
        <v>-1.0526315789473684</v>
      </c>
      <c r="F160" s="106" t="s">
        <v>187</v>
      </c>
      <c r="H160" s="61">
        <v>0</v>
      </c>
      <c r="I160" s="61">
        <v>0</v>
      </c>
      <c r="J160" s="61">
        <v>0</v>
      </c>
      <c r="K160" s="86">
        <v>0</v>
      </c>
      <c r="L160" s="86">
        <v>0</v>
      </c>
      <c r="M160" s="61">
        <v>0</v>
      </c>
      <c r="N160" s="61">
        <v>0</v>
      </c>
      <c r="O160" s="61">
        <v>-4.8000000000000001E-2</v>
      </c>
      <c r="P160" s="61">
        <v>0</v>
      </c>
      <c r="Q160" s="61">
        <v>-9.0000000000000011E-3</v>
      </c>
      <c r="R160" s="61">
        <v>0</v>
      </c>
      <c r="S160" s="61">
        <v>0</v>
      </c>
      <c r="T160" s="61">
        <v>0</v>
      </c>
      <c r="U160" s="61">
        <v>0</v>
      </c>
      <c r="V160" s="61">
        <v>0</v>
      </c>
      <c r="W160" s="61">
        <v>0</v>
      </c>
      <c r="X160" s="61">
        <v>0</v>
      </c>
      <c r="Y160" s="61">
        <v>-5.7000000000000002E-2</v>
      </c>
      <c r="AA160" s="61">
        <v>0</v>
      </c>
      <c r="AB160" s="60">
        <v>-0.06</v>
      </c>
      <c r="AD160" s="61">
        <v>0</v>
      </c>
      <c r="AE160" s="60">
        <v>-0.06</v>
      </c>
    </row>
    <row r="161" spans="1:31" ht="18" customHeight="1" x14ac:dyDescent="0.2">
      <c r="A161" s="30" t="s">
        <v>75</v>
      </c>
      <c r="B161" s="30" t="s">
        <v>18</v>
      </c>
      <c r="C161" s="4">
        <v>0</v>
      </c>
      <c r="D161" s="4">
        <v>0</v>
      </c>
      <c r="F161" s="106" t="s">
        <v>94</v>
      </c>
      <c r="H161" s="61">
        <v>-8.6999999999999994E-2</v>
      </c>
      <c r="I161" s="61">
        <v>0</v>
      </c>
      <c r="J161" s="61">
        <v>0</v>
      </c>
      <c r="K161" s="86">
        <v>0</v>
      </c>
      <c r="L161" s="86">
        <v>0</v>
      </c>
      <c r="M161" s="61">
        <v>0</v>
      </c>
      <c r="N161" s="61">
        <v>0</v>
      </c>
      <c r="O161" s="61">
        <v>0</v>
      </c>
      <c r="P161" s="61">
        <v>0</v>
      </c>
      <c r="Q161" s="61">
        <v>0</v>
      </c>
      <c r="R161" s="61">
        <v>0</v>
      </c>
      <c r="S161" s="61">
        <v>0</v>
      </c>
      <c r="T161" s="61">
        <v>0</v>
      </c>
      <c r="U161" s="61">
        <v>0</v>
      </c>
      <c r="V161" s="61">
        <v>0</v>
      </c>
      <c r="W161" s="61">
        <v>0</v>
      </c>
      <c r="X161" s="61">
        <v>0</v>
      </c>
      <c r="Y161" s="61">
        <v>0</v>
      </c>
      <c r="AA161" s="61">
        <v>0</v>
      </c>
      <c r="AB161" s="60">
        <v>0</v>
      </c>
      <c r="AD161" s="61">
        <v>0</v>
      </c>
      <c r="AE161" s="60">
        <v>0</v>
      </c>
    </row>
    <row r="162" spans="1:31" ht="18" customHeight="1" x14ac:dyDescent="0.2">
      <c r="A162" s="30" t="s">
        <v>91</v>
      </c>
      <c r="B162" s="30" t="s">
        <v>18</v>
      </c>
      <c r="C162" s="4">
        <v>0</v>
      </c>
      <c r="D162" s="4">
        <v>0</v>
      </c>
      <c r="F162" s="106" t="s">
        <v>96</v>
      </c>
      <c r="H162" s="61">
        <v>-3.9580000000000002</v>
      </c>
      <c r="I162" s="61">
        <v>-5.1189999999999998</v>
      </c>
      <c r="J162" s="61">
        <v>-5.1189999999999998</v>
      </c>
      <c r="K162" s="86">
        <v>0</v>
      </c>
      <c r="L162" s="86">
        <v>0</v>
      </c>
      <c r="M162" s="61">
        <v>0</v>
      </c>
      <c r="N162" s="61">
        <v>0</v>
      </c>
      <c r="O162" s="61">
        <v>0</v>
      </c>
      <c r="P162" s="61">
        <v>0</v>
      </c>
      <c r="Q162" s="61">
        <v>0</v>
      </c>
      <c r="R162" s="61">
        <v>0</v>
      </c>
      <c r="S162" s="61">
        <v>-0.18</v>
      </c>
      <c r="T162" s="61">
        <v>0.18</v>
      </c>
      <c r="U162" s="61">
        <v>0</v>
      </c>
      <c r="V162" s="61">
        <v>0</v>
      </c>
      <c r="W162" s="61">
        <v>0</v>
      </c>
      <c r="X162" s="61">
        <v>0</v>
      </c>
      <c r="Y162" s="61">
        <v>0</v>
      </c>
      <c r="AA162" s="61">
        <v>0</v>
      </c>
      <c r="AB162" s="60">
        <v>0</v>
      </c>
      <c r="AD162" s="61">
        <v>0</v>
      </c>
      <c r="AE162" s="60">
        <v>0</v>
      </c>
    </row>
    <row r="163" spans="1:31" ht="18" customHeight="1" x14ac:dyDescent="0.2">
      <c r="A163" s="30" t="s">
        <v>74</v>
      </c>
      <c r="B163" s="30" t="s">
        <v>18</v>
      </c>
      <c r="C163" s="4">
        <v>-1</v>
      </c>
      <c r="D163" s="4">
        <v>-1</v>
      </c>
      <c r="F163" s="106" t="s">
        <v>97</v>
      </c>
      <c r="H163" s="61">
        <v>-1.3360000000000001</v>
      </c>
      <c r="I163" s="61">
        <v>-0.54500000000000004</v>
      </c>
      <c r="J163" s="61">
        <v>-0.54500000000000004</v>
      </c>
      <c r="K163" s="86">
        <v>0</v>
      </c>
      <c r="L163" s="86">
        <v>0</v>
      </c>
      <c r="M163" s="61">
        <v>-4.7E-2</v>
      </c>
      <c r="N163" s="61">
        <v>-4.5999999999999999E-2</v>
      </c>
      <c r="O163" s="61">
        <v>-4.0000000000000008E-2</v>
      </c>
      <c r="P163" s="61">
        <v>-3.999999999999998E-2</v>
      </c>
      <c r="Q163" s="61">
        <v>-3.8000000000000006E-2</v>
      </c>
      <c r="R163" s="61">
        <v>-3.5000000000000003E-2</v>
      </c>
      <c r="S163" s="61">
        <v>-4.1999999999999982E-2</v>
      </c>
      <c r="T163" s="61">
        <v>-3.7000000000000033E-2</v>
      </c>
      <c r="U163" s="61">
        <v>-3.5999999999999976E-2</v>
      </c>
      <c r="V163" s="61">
        <v>-3.7000000000000033E-2</v>
      </c>
      <c r="W163" s="61">
        <v>-3.1999999999999973E-2</v>
      </c>
      <c r="X163" s="61">
        <v>3.999999999999998E-2</v>
      </c>
      <c r="Y163" s="61">
        <v>-0.39</v>
      </c>
      <c r="AA163" s="61">
        <v>0</v>
      </c>
      <c r="AB163" s="60">
        <v>-0.39</v>
      </c>
      <c r="AD163" s="61">
        <v>0</v>
      </c>
      <c r="AE163" s="60">
        <v>-0.39</v>
      </c>
    </row>
    <row r="164" spans="1:31" ht="18" customHeight="1" x14ac:dyDescent="0.2">
      <c r="A164" s="30" t="s">
        <v>92</v>
      </c>
      <c r="B164" s="30" t="s">
        <v>18</v>
      </c>
      <c r="C164" s="4">
        <v>1.0377358490566038</v>
      </c>
      <c r="D164" s="4">
        <v>0</v>
      </c>
      <c r="F164" s="106" t="s">
        <v>98</v>
      </c>
      <c r="H164" s="61">
        <v>-0.14399999999999999</v>
      </c>
      <c r="I164" s="61">
        <v>-0.11899999999999999</v>
      </c>
      <c r="J164" s="61">
        <v>-0.11899999999999999</v>
      </c>
      <c r="K164" s="86">
        <v>-0.106</v>
      </c>
      <c r="L164" s="86">
        <v>0</v>
      </c>
      <c r="M164" s="61">
        <v>0</v>
      </c>
      <c r="N164" s="61">
        <v>0</v>
      </c>
      <c r="O164" s="61">
        <v>0</v>
      </c>
      <c r="P164" s="61">
        <v>0</v>
      </c>
      <c r="Q164" s="61">
        <v>0</v>
      </c>
      <c r="R164" s="61">
        <v>0</v>
      </c>
      <c r="S164" s="61">
        <v>0</v>
      </c>
      <c r="T164" s="61">
        <v>0</v>
      </c>
      <c r="U164" s="61">
        <v>0</v>
      </c>
      <c r="V164" s="61">
        <v>0</v>
      </c>
      <c r="W164" s="61">
        <v>0</v>
      </c>
      <c r="X164" s="61">
        <v>0</v>
      </c>
      <c r="Y164" s="61">
        <v>0</v>
      </c>
      <c r="AA164" s="61">
        <v>-0.106</v>
      </c>
      <c r="AB164" s="60">
        <v>0.11</v>
      </c>
      <c r="AD164" s="61">
        <v>0</v>
      </c>
      <c r="AE164" s="60">
        <v>0</v>
      </c>
    </row>
    <row r="165" spans="1:31" ht="18" customHeight="1" x14ac:dyDescent="0.2">
      <c r="A165" s="30" t="s">
        <v>125</v>
      </c>
      <c r="B165" s="30" t="s">
        <v>18</v>
      </c>
      <c r="C165" s="4">
        <v>0</v>
      </c>
      <c r="D165" s="4">
        <v>0</v>
      </c>
      <c r="F165" s="106" t="s">
        <v>126</v>
      </c>
      <c r="H165" s="61">
        <v>0</v>
      </c>
      <c r="I165" s="61">
        <v>-6.7000000000000004E-2</v>
      </c>
      <c r="J165" s="61">
        <v>-6.7000000000000004E-2</v>
      </c>
      <c r="K165" s="86">
        <v>0</v>
      </c>
      <c r="L165" s="86">
        <v>0</v>
      </c>
      <c r="M165" s="61">
        <v>0</v>
      </c>
      <c r="N165" s="61">
        <v>0</v>
      </c>
      <c r="O165" s="61">
        <v>0</v>
      </c>
      <c r="P165" s="61">
        <v>0</v>
      </c>
      <c r="Q165" s="61">
        <v>0</v>
      </c>
      <c r="R165" s="61">
        <v>0</v>
      </c>
      <c r="S165" s="61">
        <v>0</v>
      </c>
      <c r="T165" s="61">
        <v>0</v>
      </c>
      <c r="U165" s="61">
        <v>0</v>
      </c>
      <c r="V165" s="61">
        <v>0</v>
      </c>
      <c r="W165" s="61">
        <v>0</v>
      </c>
      <c r="X165" s="61">
        <v>0</v>
      </c>
      <c r="Y165" s="61">
        <v>0</v>
      </c>
      <c r="AA165" s="61">
        <v>0</v>
      </c>
      <c r="AB165" s="60">
        <v>0</v>
      </c>
      <c r="AD165" s="61">
        <v>0</v>
      </c>
      <c r="AE165" s="60">
        <v>0</v>
      </c>
    </row>
    <row r="166" spans="1:31" ht="18" hidden="1" customHeight="1" outlineLevel="1" x14ac:dyDescent="0.2">
      <c r="A166" s="30" t="s">
        <v>73</v>
      </c>
      <c r="B166" s="30" t="s">
        <v>18</v>
      </c>
      <c r="C166" s="4">
        <v>0</v>
      </c>
      <c r="D166" s="4">
        <v>0</v>
      </c>
      <c r="F166" s="38" t="s">
        <v>72</v>
      </c>
      <c r="G166" s="34"/>
      <c r="H166" s="66">
        <v>0</v>
      </c>
      <c r="I166" s="66">
        <v>0</v>
      </c>
      <c r="J166" s="66">
        <v>0</v>
      </c>
      <c r="K166" s="86">
        <v>0</v>
      </c>
      <c r="L166" s="8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34"/>
      <c r="AA166" s="66">
        <v>0</v>
      </c>
      <c r="AB166" s="60">
        <v>0</v>
      </c>
      <c r="AC166" s="34"/>
      <c r="AD166" s="66">
        <v>0</v>
      </c>
      <c r="AE166" s="60">
        <v>0</v>
      </c>
    </row>
    <row r="167" spans="1:31" ht="18" hidden="1" customHeight="1" outlineLevel="1" x14ac:dyDescent="0.2">
      <c r="A167" s="30" t="s">
        <v>129</v>
      </c>
      <c r="B167" s="30" t="s">
        <v>18</v>
      </c>
      <c r="C167" s="4">
        <v>0</v>
      </c>
      <c r="D167" s="4">
        <v>0</v>
      </c>
      <c r="F167" s="38" t="s">
        <v>190</v>
      </c>
      <c r="G167" s="34"/>
      <c r="H167" s="66">
        <v>0</v>
      </c>
      <c r="I167" s="66">
        <v>0</v>
      </c>
      <c r="J167" s="66">
        <v>0</v>
      </c>
      <c r="K167" s="86">
        <v>0</v>
      </c>
      <c r="L167" s="8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34"/>
      <c r="AA167" s="66">
        <v>0</v>
      </c>
      <c r="AB167" s="60">
        <v>0</v>
      </c>
      <c r="AC167" s="34"/>
      <c r="AD167" s="66">
        <v>0</v>
      </c>
      <c r="AE167" s="60">
        <v>0</v>
      </c>
    </row>
    <row r="168" spans="1:31" ht="18" hidden="1" customHeight="1" outlineLevel="1" x14ac:dyDescent="0.2">
      <c r="A168" s="30" t="s">
        <v>172</v>
      </c>
      <c r="B168" s="30" t="s">
        <v>18</v>
      </c>
      <c r="C168" s="4">
        <v>0</v>
      </c>
      <c r="D168" s="4">
        <v>0</v>
      </c>
      <c r="F168" s="38" t="s">
        <v>173</v>
      </c>
      <c r="G168" s="34"/>
      <c r="H168" s="66">
        <v>0</v>
      </c>
      <c r="I168" s="66">
        <v>0</v>
      </c>
      <c r="J168" s="66">
        <v>0</v>
      </c>
      <c r="K168" s="86">
        <v>0</v>
      </c>
      <c r="L168" s="86">
        <v>0</v>
      </c>
      <c r="M168" s="66">
        <v>0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34"/>
      <c r="AA168" s="66">
        <v>0</v>
      </c>
      <c r="AB168" s="60">
        <v>0</v>
      </c>
      <c r="AC168" s="34"/>
      <c r="AD168" s="66">
        <v>0</v>
      </c>
      <c r="AE168" s="60">
        <v>0</v>
      </c>
    </row>
    <row r="169" spans="1:31" ht="18" hidden="1" customHeight="1" outlineLevel="1" x14ac:dyDescent="0.2">
      <c r="A169" s="30" t="s">
        <v>88</v>
      </c>
      <c r="B169" s="30" t="s">
        <v>18</v>
      </c>
      <c r="C169" s="4">
        <v>0</v>
      </c>
      <c r="D169" s="4">
        <v>0</v>
      </c>
      <c r="F169" s="38" t="s">
        <v>93</v>
      </c>
      <c r="G169" s="34"/>
      <c r="H169" s="66">
        <v>0</v>
      </c>
      <c r="I169" s="66">
        <v>0</v>
      </c>
      <c r="J169" s="66">
        <v>0</v>
      </c>
      <c r="K169" s="86">
        <v>0</v>
      </c>
      <c r="L169" s="8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34"/>
      <c r="AA169" s="66">
        <v>0</v>
      </c>
      <c r="AB169" s="60">
        <v>0</v>
      </c>
      <c r="AC169" s="34"/>
      <c r="AD169" s="66">
        <v>0</v>
      </c>
      <c r="AE169" s="60">
        <v>0</v>
      </c>
    </row>
    <row r="170" spans="1:31" ht="18" hidden="1" customHeight="1" outlineLevel="1" x14ac:dyDescent="0.2">
      <c r="A170" s="30" t="s">
        <v>174</v>
      </c>
      <c r="B170" s="30" t="s">
        <v>18</v>
      </c>
      <c r="C170" s="4">
        <v>0</v>
      </c>
      <c r="D170" s="4">
        <v>0</v>
      </c>
      <c r="F170" s="38" t="s">
        <v>175</v>
      </c>
      <c r="G170" s="34"/>
      <c r="H170" s="66">
        <v>0</v>
      </c>
      <c r="I170" s="66">
        <v>0</v>
      </c>
      <c r="J170" s="66">
        <v>0</v>
      </c>
      <c r="K170" s="86">
        <v>0</v>
      </c>
      <c r="L170" s="8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34"/>
      <c r="AA170" s="66">
        <v>0</v>
      </c>
      <c r="AB170" s="60">
        <v>0</v>
      </c>
      <c r="AC170" s="34"/>
      <c r="AD170" s="66">
        <v>0</v>
      </c>
      <c r="AE170" s="60">
        <v>0</v>
      </c>
    </row>
    <row r="171" spans="1:31" ht="18" hidden="1" customHeight="1" outlineLevel="1" x14ac:dyDescent="0.2">
      <c r="A171" s="30" t="s">
        <v>130</v>
      </c>
      <c r="B171" s="30" t="s">
        <v>18</v>
      </c>
      <c r="C171" s="4">
        <v>0</v>
      </c>
      <c r="D171" s="4">
        <v>0</v>
      </c>
      <c r="F171" s="38" t="s">
        <v>176</v>
      </c>
      <c r="G171" s="34"/>
      <c r="H171" s="66">
        <v>0</v>
      </c>
      <c r="I171" s="66">
        <v>0</v>
      </c>
      <c r="J171" s="66">
        <v>0</v>
      </c>
      <c r="K171" s="86">
        <v>0</v>
      </c>
      <c r="L171" s="8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34"/>
      <c r="AA171" s="66">
        <v>0</v>
      </c>
      <c r="AB171" s="60">
        <v>0</v>
      </c>
      <c r="AC171" s="34"/>
      <c r="AD171" s="66">
        <v>0</v>
      </c>
      <c r="AE171" s="60">
        <v>0</v>
      </c>
    </row>
    <row r="172" spans="1:31" ht="18" hidden="1" customHeight="1" outlineLevel="1" x14ac:dyDescent="0.2">
      <c r="A172" s="30" t="s">
        <v>177</v>
      </c>
      <c r="B172" s="30" t="s">
        <v>18</v>
      </c>
      <c r="C172" s="4">
        <v>0</v>
      </c>
      <c r="D172" s="4">
        <v>0</v>
      </c>
      <c r="F172" s="38" t="s">
        <v>178</v>
      </c>
      <c r="G172" s="34"/>
      <c r="H172" s="66">
        <v>0</v>
      </c>
      <c r="I172" s="66">
        <v>0</v>
      </c>
      <c r="J172" s="66">
        <v>0</v>
      </c>
      <c r="K172" s="86">
        <v>0</v>
      </c>
      <c r="L172" s="8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34"/>
      <c r="AA172" s="66">
        <v>0</v>
      </c>
      <c r="AB172" s="60">
        <v>0</v>
      </c>
      <c r="AC172" s="34"/>
      <c r="AD172" s="66">
        <v>0</v>
      </c>
      <c r="AE172" s="60">
        <v>0</v>
      </c>
    </row>
    <row r="173" spans="1:31" ht="18" hidden="1" customHeight="1" outlineLevel="1" x14ac:dyDescent="0.2">
      <c r="A173" s="30" t="s">
        <v>179</v>
      </c>
      <c r="B173" s="30" t="s">
        <v>18</v>
      </c>
      <c r="C173" s="4">
        <v>0</v>
      </c>
      <c r="D173" s="4">
        <v>0</v>
      </c>
      <c r="F173" s="38" t="s">
        <v>180</v>
      </c>
      <c r="G173" s="34"/>
      <c r="H173" s="66">
        <v>0</v>
      </c>
      <c r="I173" s="66">
        <v>0</v>
      </c>
      <c r="J173" s="66">
        <v>0</v>
      </c>
      <c r="K173" s="86">
        <v>0</v>
      </c>
      <c r="L173" s="8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34"/>
      <c r="AA173" s="66">
        <v>0</v>
      </c>
      <c r="AB173" s="60">
        <v>0</v>
      </c>
      <c r="AC173" s="34"/>
      <c r="AD173" s="66">
        <v>0</v>
      </c>
      <c r="AE173" s="60">
        <v>0</v>
      </c>
    </row>
    <row r="174" spans="1:31" ht="18" hidden="1" customHeight="1" outlineLevel="1" x14ac:dyDescent="0.2">
      <c r="A174" s="30" t="s">
        <v>78</v>
      </c>
      <c r="B174" s="30" t="s">
        <v>18</v>
      </c>
      <c r="C174" s="4">
        <v>0</v>
      </c>
      <c r="D174" s="4">
        <v>0</v>
      </c>
      <c r="F174" s="38" t="s">
        <v>77</v>
      </c>
      <c r="G174" s="34"/>
      <c r="H174" s="66">
        <v>0</v>
      </c>
      <c r="I174" s="66">
        <v>0</v>
      </c>
      <c r="J174" s="66">
        <v>0</v>
      </c>
      <c r="K174" s="86">
        <v>0</v>
      </c>
      <c r="L174" s="8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34"/>
      <c r="AA174" s="66">
        <v>0</v>
      </c>
      <c r="AB174" s="60">
        <v>0</v>
      </c>
      <c r="AC174" s="34"/>
      <c r="AD174" s="66">
        <v>0</v>
      </c>
      <c r="AE174" s="60">
        <v>0</v>
      </c>
    </row>
    <row r="175" spans="1:31" ht="18" hidden="1" customHeight="1" outlineLevel="1" x14ac:dyDescent="0.2">
      <c r="A175" s="30" t="s">
        <v>193</v>
      </c>
      <c r="B175" s="30" t="s">
        <v>18</v>
      </c>
      <c r="C175" s="4">
        <v>0</v>
      </c>
      <c r="D175" s="4">
        <v>0</v>
      </c>
      <c r="F175" s="38" t="s">
        <v>268</v>
      </c>
      <c r="G175" s="34"/>
      <c r="H175" s="66">
        <v>0</v>
      </c>
      <c r="I175" s="66">
        <v>0</v>
      </c>
      <c r="J175" s="66">
        <v>0</v>
      </c>
      <c r="K175" s="86">
        <v>0</v>
      </c>
      <c r="L175" s="8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34"/>
      <c r="AA175" s="66">
        <v>0</v>
      </c>
      <c r="AB175" s="60">
        <v>0</v>
      </c>
      <c r="AC175" s="34"/>
      <c r="AD175" s="66">
        <v>0</v>
      </c>
      <c r="AE175" s="60">
        <v>0</v>
      </c>
    </row>
    <row r="176" spans="1:31" ht="18" hidden="1" customHeight="1" outlineLevel="1" x14ac:dyDescent="0.2">
      <c r="A176" s="30" t="s">
        <v>181</v>
      </c>
      <c r="B176" s="30" t="s">
        <v>18</v>
      </c>
      <c r="C176" s="4">
        <v>0</v>
      </c>
      <c r="D176" s="4">
        <v>0</v>
      </c>
      <c r="F176" s="38" t="s">
        <v>182</v>
      </c>
      <c r="G176" s="34"/>
      <c r="H176" s="66">
        <v>0</v>
      </c>
      <c r="I176" s="66">
        <v>0</v>
      </c>
      <c r="J176" s="66">
        <v>0</v>
      </c>
      <c r="K176" s="86">
        <v>0</v>
      </c>
      <c r="L176" s="8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34"/>
      <c r="AA176" s="66">
        <v>0</v>
      </c>
      <c r="AB176" s="60">
        <v>0</v>
      </c>
      <c r="AC176" s="34"/>
      <c r="AD176" s="66">
        <v>0</v>
      </c>
      <c r="AE176" s="60">
        <v>0</v>
      </c>
    </row>
    <row r="177" spans="1:31" ht="18" hidden="1" customHeight="1" outlineLevel="1" x14ac:dyDescent="0.2">
      <c r="A177" s="30" t="s">
        <v>90</v>
      </c>
      <c r="B177" s="30" t="s">
        <v>18</v>
      </c>
      <c r="C177" s="4">
        <v>0</v>
      </c>
      <c r="D177" s="4">
        <v>0</v>
      </c>
      <c r="F177" s="38" t="s">
        <v>95</v>
      </c>
      <c r="G177" s="34"/>
      <c r="H177" s="66">
        <v>-0.25</v>
      </c>
      <c r="I177" s="66">
        <v>0</v>
      </c>
      <c r="J177" s="66">
        <v>0</v>
      </c>
      <c r="K177" s="86">
        <v>0</v>
      </c>
      <c r="L177" s="86">
        <v>0</v>
      </c>
      <c r="M177" s="66">
        <v>0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34"/>
      <c r="AA177" s="66">
        <v>0</v>
      </c>
      <c r="AB177" s="60">
        <v>0</v>
      </c>
      <c r="AC177" s="34"/>
      <c r="AD177" s="66">
        <v>0</v>
      </c>
      <c r="AE177" s="60">
        <v>0</v>
      </c>
    </row>
    <row r="178" spans="1:31" ht="18" hidden="1" customHeight="1" outlineLevel="1" x14ac:dyDescent="0.2">
      <c r="A178" s="30" t="s">
        <v>127</v>
      </c>
      <c r="B178" s="30" t="s">
        <v>18</v>
      </c>
      <c r="C178" s="4">
        <v>0</v>
      </c>
      <c r="D178" s="4">
        <v>0</v>
      </c>
      <c r="F178" s="38" t="s">
        <v>128</v>
      </c>
      <c r="G178" s="34"/>
      <c r="H178" s="66">
        <v>0</v>
      </c>
      <c r="I178" s="66">
        <v>0</v>
      </c>
      <c r="J178" s="66">
        <v>0</v>
      </c>
      <c r="K178" s="86">
        <v>0</v>
      </c>
      <c r="L178" s="86">
        <v>0</v>
      </c>
      <c r="M178" s="66">
        <v>0</v>
      </c>
      <c r="N178" s="66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34"/>
      <c r="AA178" s="66">
        <v>0</v>
      </c>
      <c r="AB178" s="60">
        <v>0</v>
      </c>
      <c r="AC178" s="34"/>
      <c r="AD178" s="66">
        <v>0</v>
      </c>
      <c r="AE178" s="60">
        <v>0</v>
      </c>
    </row>
    <row r="179" spans="1:31" s="209" customFormat="1" ht="18" hidden="1" customHeight="1" outlineLevel="1" x14ac:dyDescent="0.2">
      <c r="A179" s="228" t="s">
        <v>261</v>
      </c>
      <c r="B179" s="210" t="s">
        <v>18</v>
      </c>
      <c r="C179" s="208">
        <v>0</v>
      </c>
      <c r="D179" s="208">
        <v>0</v>
      </c>
      <c r="F179" s="219" t="s">
        <v>262</v>
      </c>
      <c r="G179" s="211"/>
      <c r="H179" s="215">
        <v>0</v>
      </c>
      <c r="I179" s="215">
        <v>0</v>
      </c>
      <c r="J179" s="215">
        <v>0</v>
      </c>
      <c r="K179" s="216">
        <v>0</v>
      </c>
      <c r="L179" s="216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  <c r="R179" s="215">
        <v>0</v>
      </c>
      <c r="S179" s="215">
        <v>0</v>
      </c>
      <c r="T179" s="215">
        <v>0</v>
      </c>
      <c r="U179" s="215">
        <v>0</v>
      </c>
      <c r="V179" s="215">
        <v>0</v>
      </c>
      <c r="W179" s="215">
        <v>0</v>
      </c>
      <c r="X179" s="215">
        <v>0</v>
      </c>
      <c r="Y179" s="215">
        <v>0</v>
      </c>
      <c r="Z179" s="211"/>
      <c r="AA179" s="215">
        <v>0</v>
      </c>
      <c r="AB179" s="214">
        <v>0</v>
      </c>
      <c r="AC179" s="211"/>
      <c r="AD179" s="215">
        <v>0</v>
      </c>
      <c r="AE179" s="214">
        <v>0</v>
      </c>
    </row>
    <row r="180" spans="1:31" ht="18" hidden="1" customHeight="1" outlineLevel="1" x14ac:dyDescent="0.2">
      <c r="A180" s="30" t="s">
        <v>199</v>
      </c>
      <c r="B180" s="30" t="s">
        <v>18</v>
      </c>
      <c r="C180" s="4">
        <v>0</v>
      </c>
      <c r="D180" s="4">
        <v>0</v>
      </c>
      <c r="F180" s="38" t="s">
        <v>184</v>
      </c>
      <c r="G180" s="34"/>
      <c r="H180" s="66">
        <v>0</v>
      </c>
      <c r="I180" s="66">
        <v>0</v>
      </c>
      <c r="J180" s="66">
        <v>0</v>
      </c>
      <c r="K180" s="86">
        <v>0</v>
      </c>
      <c r="L180" s="8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34"/>
      <c r="AA180" s="66">
        <v>0</v>
      </c>
      <c r="AB180" s="60">
        <v>0</v>
      </c>
      <c r="AC180" s="34"/>
      <c r="AD180" s="66">
        <v>0</v>
      </c>
      <c r="AE180" s="60">
        <v>0</v>
      </c>
    </row>
    <row r="181" spans="1:31" ht="18" hidden="1" customHeight="1" outlineLevel="1" x14ac:dyDescent="0.2">
      <c r="A181" s="30" t="s">
        <v>263</v>
      </c>
      <c r="B181" s="30" t="s">
        <v>18</v>
      </c>
      <c r="C181" s="4">
        <v>0</v>
      </c>
      <c r="D181" s="4">
        <v>0</v>
      </c>
      <c r="F181" s="38" t="s">
        <v>273</v>
      </c>
      <c r="G181" s="34"/>
      <c r="H181" s="66">
        <v>0</v>
      </c>
      <c r="I181" s="66">
        <v>0</v>
      </c>
      <c r="J181" s="66">
        <v>0</v>
      </c>
      <c r="K181" s="86">
        <v>0</v>
      </c>
      <c r="L181" s="8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34"/>
      <c r="AA181" s="66">
        <v>0</v>
      </c>
      <c r="AB181" s="60">
        <v>0</v>
      </c>
      <c r="AC181" s="34"/>
      <c r="AD181" s="66">
        <v>0</v>
      </c>
      <c r="AE181" s="60">
        <v>0</v>
      </c>
    </row>
    <row r="182" spans="1:31" ht="18" hidden="1" customHeight="1" outlineLevel="1" x14ac:dyDescent="0.2">
      <c r="A182" s="30" t="s">
        <v>195</v>
      </c>
      <c r="B182" s="30" t="s">
        <v>18</v>
      </c>
      <c r="C182" s="4">
        <v>0</v>
      </c>
      <c r="D182" s="4">
        <v>0</v>
      </c>
      <c r="F182" s="38" t="s">
        <v>196</v>
      </c>
      <c r="G182" s="34"/>
      <c r="H182" s="66">
        <v>0</v>
      </c>
      <c r="I182" s="66">
        <v>0</v>
      </c>
      <c r="J182" s="66">
        <v>0</v>
      </c>
      <c r="K182" s="86">
        <v>0</v>
      </c>
      <c r="L182" s="8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34"/>
      <c r="AA182" s="66">
        <v>0</v>
      </c>
      <c r="AB182" s="60">
        <v>0</v>
      </c>
      <c r="AC182" s="34"/>
      <c r="AD182" s="66">
        <v>0</v>
      </c>
      <c r="AE182" s="60">
        <v>0</v>
      </c>
    </row>
    <row r="183" spans="1:31" ht="18" hidden="1" customHeight="1" outlineLevel="1" x14ac:dyDescent="0.2">
      <c r="A183" s="30" t="s">
        <v>197</v>
      </c>
      <c r="B183" s="30" t="s">
        <v>18</v>
      </c>
      <c r="C183" s="4">
        <v>0</v>
      </c>
      <c r="D183" s="4">
        <v>0</v>
      </c>
      <c r="F183" s="38" t="s">
        <v>267</v>
      </c>
      <c r="G183" s="34"/>
      <c r="H183" s="66">
        <v>0</v>
      </c>
      <c r="I183" s="66">
        <v>0</v>
      </c>
      <c r="J183" s="66">
        <v>0</v>
      </c>
      <c r="K183" s="86">
        <v>0</v>
      </c>
      <c r="L183" s="8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34"/>
      <c r="AA183" s="66">
        <v>0</v>
      </c>
      <c r="AB183" s="60">
        <v>0</v>
      </c>
      <c r="AC183" s="34"/>
      <c r="AD183" s="66">
        <v>0</v>
      </c>
      <c r="AE183" s="60">
        <v>0</v>
      </c>
    </row>
    <row r="184" spans="1:31" s="237" customFormat="1" ht="18" hidden="1" customHeight="1" outlineLevel="1" x14ac:dyDescent="0.2">
      <c r="A184" s="254" t="s">
        <v>445</v>
      </c>
      <c r="B184" s="238" t="s">
        <v>18</v>
      </c>
      <c r="C184" s="236">
        <v>-1.0050251256281406</v>
      </c>
      <c r="D184" s="236">
        <v>-1.0050251256281406</v>
      </c>
      <c r="F184" s="244" t="s">
        <v>444</v>
      </c>
      <c r="G184" s="239"/>
      <c r="H184" s="241">
        <v>0</v>
      </c>
      <c r="I184" s="241">
        <v>0</v>
      </c>
      <c r="J184" s="241">
        <v>0</v>
      </c>
      <c r="K184" s="242">
        <v>0</v>
      </c>
      <c r="L184" s="242">
        <v>0</v>
      </c>
      <c r="M184" s="241">
        <v>0</v>
      </c>
      <c r="N184" s="241">
        <v>0</v>
      </c>
      <c r="O184" s="241">
        <v>0</v>
      </c>
      <c r="P184" s="241">
        <v>0</v>
      </c>
      <c r="Q184" s="241">
        <v>0</v>
      </c>
      <c r="R184" s="241">
        <v>0</v>
      </c>
      <c r="S184" s="241">
        <v>0</v>
      </c>
      <c r="T184" s="241">
        <v>-0.19900000000000001</v>
      </c>
      <c r="U184" s="241">
        <v>0</v>
      </c>
      <c r="V184" s="241">
        <v>0</v>
      </c>
      <c r="W184" s="241">
        <v>0</v>
      </c>
      <c r="X184" s="241">
        <v>0</v>
      </c>
      <c r="Y184" s="241">
        <v>-0.19900000000000001</v>
      </c>
      <c r="Z184" s="239"/>
      <c r="AA184" s="241">
        <v>0</v>
      </c>
      <c r="AB184" s="240">
        <v>-0.2</v>
      </c>
      <c r="AC184" s="239"/>
      <c r="AD184" s="241">
        <v>0</v>
      </c>
      <c r="AE184" s="240">
        <v>-0.2</v>
      </c>
    </row>
    <row r="185" spans="1:31" ht="18" hidden="1" customHeight="1" outlineLevel="1" x14ac:dyDescent="0.2">
      <c r="A185" s="30" t="s">
        <v>257</v>
      </c>
      <c r="B185" s="30" t="s">
        <v>18</v>
      </c>
      <c r="C185" s="4">
        <v>0</v>
      </c>
      <c r="D185" s="4">
        <v>0</v>
      </c>
      <c r="F185" s="104" t="s">
        <v>260</v>
      </c>
      <c r="G185" s="36"/>
      <c r="H185" s="65">
        <v>0</v>
      </c>
      <c r="I185" s="65">
        <v>0</v>
      </c>
      <c r="J185" s="65">
        <v>0</v>
      </c>
      <c r="K185" s="90">
        <v>0</v>
      </c>
      <c r="L185" s="90">
        <v>0</v>
      </c>
      <c r="M185" s="65">
        <v>0</v>
      </c>
      <c r="N185" s="65">
        <v>0</v>
      </c>
      <c r="O185" s="65">
        <v>0</v>
      </c>
      <c r="P185" s="65">
        <v>0</v>
      </c>
      <c r="Q185" s="65">
        <v>0</v>
      </c>
      <c r="R185" s="65">
        <v>0</v>
      </c>
      <c r="S185" s="65">
        <v>0</v>
      </c>
      <c r="T185" s="65">
        <v>0</v>
      </c>
      <c r="U185" s="65">
        <v>0</v>
      </c>
      <c r="V185" s="65">
        <v>0</v>
      </c>
      <c r="W185" s="65">
        <v>0</v>
      </c>
      <c r="X185" s="65">
        <v>0</v>
      </c>
      <c r="Y185" s="65">
        <v>0</v>
      </c>
      <c r="Z185" s="36"/>
      <c r="AA185" s="65">
        <v>0</v>
      </c>
      <c r="AB185" s="60">
        <v>0</v>
      </c>
      <c r="AC185" s="36"/>
      <c r="AD185" s="65">
        <v>0</v>
      </c>
      <c r="AE185" s="60">
        <v>0</v>
      </c>
    </row>
    <row r="186" spans="1:31" ht="18" hidden="1" customHeight="1" outlineLevel="1" x14ac:dyDescent="0.2">
      <c r="A186" s="30" t="s">
        <v>200</v>
      </c>
      <c r="B186" s="30" t="s">
        <v>18</v>
      </c>
      <c r="C186" s="4">
        <v>0</v>
      </c>
      <c r="D186" s="4">
        <v>0</v>
      </c>
      <c r="F186" s="104" t="s">
        <v>183</v>
      </c>
      <c r="G186" s="36"/>
      <c r="H186" s="65">
        <v>0</v>
      </c>
      <c r="I186" s="65">
        <v>0</v>
      </c>
      <c r="J186" s="65">
        <v>0</v>
      </c>
      <c r="K186" s="90">
        <v>0</v>
      </c>
      <c r="L186" s="90">
        <v>0</v>
      </c>
      <c r="M186" s="65">
        <v>0</v>
      </c>
      <c r="N186" s="65">
        <v>0</v>
      </c>
      <c r="O186" s="65">
        <v>0</v>
      </c>
      <c r="P186" s="65">
        <v>0</v>
      </c>
      <c r="Q186" s="65">
        <v>0</v>
      </c>
      <c r="R186" s="65">
        <v>0</v>
      </c>
      <c r="S186" s="65">
        <v>0</v>
      </c>
      <c r="T186" s="65">
        <v>0</v>
      </c>
      <c r="U186" s="65">
        <v>0</v>
      </c>
      <c r="V186" s="65">
        <v>0</v>
      </c>
      <c r="W186" s="65">
        <v>0</v>
      </c>
      <c r="X186" s="65">
        <v>0</v>
      </c>
      <c r="Y186" s="65">
        <v>0</v>
      </c>
      <c r="Z186" s="36"/>
      <c r="AA186" s="65">
        <v>0</v>
      </c>
      <c r="AB186" s="60">
        <v>0</v>
      </c>
      <c r="AC186" s="36"/>
      <c r="AD186" s="65">
        <v>0</v>
      </c>
      <c r="AE186" s="60">
        <v>0</v>
      </c>
    </row>
    <row r="187" spans="1:31" ht="18" hidden="1" customHeight="1" outlineLevel="1" x14ac:dyDescent="0.2">
      <c r="A187" s="30" t="s">
        <v>256</v>
      </c>
      <c r="B187" s="30" t="s">
        <v>18</v>
      </c>
      <c r="C187" s="4">
        <v>0</v>
      </c>
      <c r="D187" s="4">
        <v>0</v>
      </c>
      <c r="F187" s="104" t="s">
        <v>259</v>
      </c>
      <c r="G187" s="36"/>
      <c r="H187" s="65">
        <v>0</v>
      </c>
      <c r="I187" s="65">
        <v>0</v>
      </c>
      <c r="J187" s="65">
        <v>0</v>
      </c>
      <c r="K187" s="90">
        <v>0</v>
      </c>
      <c r="L187" s="90">
        <v>0</v>
      </c>
      <c r="M187" s="65">
        <v>0</v>
      </c>
      <c r="N187" s="65">
        <v>0</v>
      </c>
      <c r="O187" s="65">
        <v>0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36"/>
      <c r="AA187" s="65">
        <v>0</v>
      </c>
      <c r="AB187" s="60">
        <v>0</v>
      </c>
      <c r="AC187" s="36"/>
      <c r="AD187" s="65">
        <v>0</v>
      </c>
      <c r="AE187" s="60">
        <v>0</v>
      </c>
    </row>
    <row r="188" spans="1:31" ht="18" hidden="1" customHeight="1" outlineLevel="1" x14ac:dyDescent="0.2">
      <c r="A188" s="30" t="s">
        <v>185</v>
      </c>
      <c r="B188" s="30" t="s">
        <v>18</v>
      </c>
      <c r="C188" s="4">
        <v>0</v>
      </c>
      <c r="D188" s="4">
        <v>0</v>
      </c>
      <c r="F188" s="38" t="s">
        <v>186</v>
      </c>
      <c r="G188" s="34"/>
      <c r="H188" s="66">
        <v>0</v>
      </c>
      <c r="I188" s="66">
        <v>0</v>
      </c>
      <c r="J188" s="66">
        <v>0</v>
      </c>
      <c r="K188" s="86">
        <v>0</v>
      </c>
      <c r="L188" s="86">
        <v>0</v>
      </c>
      <c r="M188" s="66">
        <v>0</v>
      </c>
      <c r="N188" s="66">
        <v>0</v>
      </c>
      <c r="O188" s="66">
        <v>0</v>
      </c>
      <c r="P188" s="66">
        <v>0</v>
      </c>
      <c r="Q188" s="66">
        <v>0</v>
      </c>
      <c r="R188" s="66">
        <v>0</v>
      </c>
      <c r="S188" s="66">
        <v>0</v>
      </c>
      <c r="T188" s="66">
        <v>0</v>
      </c>
      <c r="U188" s="66">
        <v>0</v>
      </c>
      <c r="V188" s="66">
        <v>0</v>
      </c>
      <c r="W188" s="66">
        <v>0</v>
      </c>
      <c r="X188" s="66">
        <v>0</v>
      </c>
      <c r="Y188" s="66">
        <v>0</v>
      </c>
      <c r="Z188" s="34"/>
      <c r="AA188" s="66">
        <v>0</v>
      </c>
      <c r="AB188" s="60">
        <v>0</v>
      </c>
      <c r="AC188" s="34"/>
      <c r="AD188" s="66">
        <v>0</v>
      </c>
      <c r="AE188" s="60">
        <v>0</v>
      </c>
    </row>
    <row r="189" spans="1:31" ht="18" customHeight="1" collapsed="1" x14ac:dyDescent="0.2">
      <c r="A189" s="35"/>
      <c r="B189" s="35"/>
      <c r="C189" s="4">
        <v>-1.0050251256281406</v>
      </c>
      <c r="D189" s="4">
        <v>-1.0050251256281406</v>
      </c>
      <c r="F189" s="106" t="s">
        <v>188</v>
      </c>
      <c r="H189" s="61">
        <v>-0.25</v>
      </c>
      <c r="I189" s="61">
        <v>0</v>
      </c>
      <c r="J189" s="61">
        <v>0</v>
      </c>
      <c r="K189" s="86">
        <v>0</v>
      </c>
      <c r="L189" s="86">
        <v>0</v>
      </c>
      <c r="M189" s="61">
        <v>0</v>
      </c>
      <c r="N189" s="61">
        <v>0</v>
      </c>
      <c r="O189" s="61">
        <v>0</v>
      </c>
      <c r="P189" s="61">
        <v>0</v>
      </c>
      <c r="Q189" s="61">
        <v>0</v>
      </c>
      <c r="R189" s="61">
        <v>0</v>
      </c>
      <c r="S189" s="61">
        <v>0</v>
      </c>
      <c r="T189" s="61">
        <v>-0.19900000000000001</v>
      </c>
      <c r="U189" s="61">
        <v>0</v>
      </c>
      <c r="V189" s="61">
        <v>0</v>
      </c>
      <c r="W189" s="61">
        <v>0</v>
      </c>
      <c r="X189" s="61">
        <v>0</v>
      </c>
      <c r="Y189" s="61">
        <v>-0.19900000000000001</v>
      </c>
      <c r="AA189" s="61">
        <v>0</v>
      </c>
      <c r="AB189" s="60">
        <v>-0.2</v>
      </c>
      <c r="AD189" s="61">
        <v>0</v>
      </c>
      <c r="AE189" s="60">
        <v>-0.2</v>
      </c>
    </row>
    <row r="190" spans="1:31" ht="18" customHeight="1" x14ac:dyDescent="0.2">
      <c r="A190" s="35"/>
      <c r="B190" s="35"/>
      <c r="C190" s="4">
        <v>-5.0943396226415096</v>
      </c>
      <c r="D190" s="4">
        <v>-1.0061919504643964</v>
      </c>
      <c r="F190" s="95" t="s">
        <v>87</v>
      </c>
      <c r="H190" s="64">
        <v>-5.7750000000000004</v>
      </c>
      <c r="I190" s="64">
        <v>-5.85</v>
      </c>
      <c r="J190" s="64">
        <v>-5.85</v>
      </c>
      <c r="K190" s="89">
        <v>-0.106</v>
      </c>
      <c r="L190" s="89">
        <v>0</v>
      </c>
      <c r="M190" s="64">
        <v>-4.7E-2</v>
      </c>
      <c r="N190" s="64">
        <v>-4.5999999999999999E-2</v>
      </c>
      <c r="O190" s="64">
        <v>-8.8000000000000009E-2</v>
      </c>
      <c r="P190" s="64">
        <v>-3.999999999999998E-2</v>
      </c>
      <c r="Q190" s="64">
        <v>-4.7000000000000007E-2</v>
      </c>
      <c r="R190" s="64">
        <v>-3.5000000000000003E-2</v>
      </c>
      <c r="S190" s="64">
        <v>-0.22199999999999998</v>
      </c>
      <c r="T190" s="64">
        <v>-5.600000000000005E-2</v>
      </c>
      <c r="U190" s="64">
        <v>-3.5999999999999976E-2</v>
      </c>
      <c r="V190" s="64">
        <v>-3.7000000000000033E-2</v>
      </c>
      <c r="W190" s="64">
        <v>-3.1999999999999973E-2</v>
      </c>
      <c r="X190" s="64">
        <v>3.999999999999998E-2</v>
      </c>
      <c r="Y190" s="64">
        <v>-0.64600000000000002</v>
      </c>
      <c r="AA190" s="64">
        <v>-0.106</v>
      </c>
      <c r="AB190" s="60">
        <v>-0.54</v>
      </c>
      <c r="AD190" s="64">
        <v>0</v>
      </c>
      <c r="AE190" s="60">
        <v>-0.65</v>
      </c>
    </row>
    <row r="191" spans="1:31" ht="12.95" customHeight="1" x14ac:dyDescent="0.2">
      <c r="A191" s="35"/>
      <c r="B191" s="35"/>
      <c r="C191" s="4"/>
      <c r="D191" s="4"/>
      <c r="F191" s="39" t="s">
        <v>223</v>
      </c>
      <c r="H191" s="56">
        <v>1.2494699218513358E-2</v>
      </c>
      <c r="I191" s="56">
        <v>5.1832293734051599E-2</v>
      </c>
      <c r="J191" s="56">
        <v>5.1832293734051599E-2</v>
      </c>
      <c r="K191" s="109" t="e">
        <v>#DIV/0!</v>
      </c>
      <c r="L191" s="109" t="e">
        <v>#DIV/0!</v>
      </c>
      <c r="M191" s="56" t="e">
        <v>#DIV/0!</v>
      </c>
      <c r="N191" s="56">
        <v>9.2184368737474945E-2</v>
      </c>
      <c r="O191" s="56" t="e">
        <v>#DIV/0!</v>
      </c>
      <c r="P191" s="56" t="e">
        <v>#DIV/0!</v>
      </c>
      <c r="Q191" s="56" t="e">
        <v>#DIV/0!</v>
      </c>
      <c r="R191" s="56">
        <v>4.1716328963051254E-2</v>
      </c>
      <c r="S191" s="56">
        <v>-1.3293413173652691</v>
      </c>
      <c r="T191" s="56" t="e">
        <v>#DIV/0!</v>
      </c>
      <c r="U191" s="56" t="e">
        <v>#DIV/0!</v>
      </c>
      <c r="V191" s="56" t="e">
        <v>#DIV/0!</v>
      </c>
      <c r="W191" s="56" t="e">
        <v>#DIV/0!</v>
      </c>
      <c r="X191" s="56">
        <v>-0.15384615384615377</v>
      </c>
      <c r="Y191" s="56">
        <v>0.45143256464011183</v>
      </c>
      <c r="AA191" s="56" t="e">
        <v>#DIV/0!</v>
      </c>
      <c r="AB191" s="57"/>
      <c r="AD191" s="56" t="e">
        <v>#DIV/0!</v>
      </c>
      <c r="AE191" s="57"/>
    </row>
    <row r="192" spans="1:31" ht="6.95" customHeight="1" x14ac:dyDescent="0.2">
      <c r="C192" s="4"/>
      <c r="D192" s="4"/>
      <c r="F192" s="96"/>
      <c r="H192" s="16"/>
      <c r="I192" s="16"/>
      <c r="J192" s="16"/>
      <c r="K192" s="85"/>
      <c r="L192" s="85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AA192" s="16"/>
      <c r="AB192" s="20"/>
      <c r="AD192" s="16"/>
      <c r="AE192" s="20"/>
    </row>
    <row r="193" spans="1:31" s="40" customFormat="1" ht="18" customHeight="1" x14ac:dyDescent="0.2">
      <c r="A193" s="35"/>
      <c r="B193" s="35"/>
      <c r="C193" s="4">
        <v>-66.698113207547181</v>
      </c>
      <c r="D193" s="4">
        <v>-1.0005574136008919</v>
      </c>
      <c r="E193" s="8"/>
      <c r="F193" s="100" t="s">
        <v>277</v>
      </c>
      <c r="G193" s="8"/>
      <c r="H193" s="62">
        <v>-439.48399999999998</v>
      </c>
      <c r="I193" s="62">
        <v>-164.202</v>
      </c>
      <c r="J193" s="62">
        <v>-164.202</v>
      </c>
      <c r="K193" s="108">
        <v>-0.106</v>
      </c>
      <c r="L193" s="108">
        <v>0</v>
      </c>
      <c r="M193" s="62">
        <v>2.8329999999999997</v>
      </c>
      <c r="N193" s="62">
        <v>-10.045999999999999</v>
      </c>
      <c r="O193" s="62">
        <v>-8.8000000000000009E-2</v>
      </c>
      <c r="P193" s="62">
        <v>-3.999999999999998E-2</v>
      </c>
      <c r="Q193" s="62">
        <v>-4.7000000000000007E-2</v>
      </c>
      <c r="R193" s="62">
        <v>-3.5000000000000003E-2</v>
      </c>
      <c r="S193" s="62">
        <v>-0.22199999999999998</v>
      </c>
      <c r="T193" s="62">
        <v>-5.600000000000005E-2</v>
      </c>
      <c r="U193" s="62">
        <v>-3.5999999999999976E-2</v>
      </c>
      <c r="V193" s="62">
        <v>-3.7000000000000033E-2</v>
      </c>
      <c r="W193" s="62">
        <v>-3.1999999999999973E-2</v>
      </c>
      <c r="X193" s="62">
        <v>0.62999999999999989</v>
      </c>
      <c r="Y193" s="62">
        <v>-7.1760000000000002</v>
      </c>
      <c r="Z193" s="8"/>
      <c r="AA193" s="62">
        <v>-0.106</v>
      </c>
      <c r="AB193" s="60">
        <v>-7.07</v>
      </c>
      <c r="AC193" s="8"/>
      <c r="AD193" s="62">
        <v>0</v>
      </c>
      <c r="AE193" s="60">
        <v>-7.18</v>
      </c>
    </row>
    <row r="194" spans="1:31" ht="12.95" customHeight="1" x14ac:dyDescent="0.2">
      <c r="A194" s="35"/>
      <c r="B194" s="35"/>
      <c r="C194" s="4"/>
      <c r="D194" s="4"/>
      <c r="F194" s="39" t="s">
        <v>223</v>
      </c>
      <c r="H194" s="56">
        <v>0.95086067382668815</v>
      </c>
      <c r="I194" s="56">
        <v>1.4548660334561949</v>
      </c>
      <c r="J194" s="56">
        <v>1.4548660334561949</v>
      </c>
      <c r="K194" s="109" t="e">
        <v>#DIV/0!</v>
      </c>
      <c r="L194" s="109" t="e">
        <v>#DIV/0!</v>
      </c>
      <c r="M194" s="56" t="e">
        <v>#DIV/0!</v>
      </c>
      <c r="N194" s="56">
        <v>20.132264529058116</v>
      </c>
      <c r="O194" s="56" t="e">
        <v>#DIV/0!</v>
      </c>
      <c r="P194" s="56" t="e">
        <v>#DIV/0!</v>
      </c>
      <c r="Q194" s="56" t="e">
        <v>#DIV/0!</v>
      </c>
      <c r="R194" s="56">
        <v>4.1716328963051254E-2</v>
      </c>
      <c r="S194" s="56">
        <v>-1.3293413173652691</v>
      </c>
      <c r="T194" s="56" t="e">
        <v>#DIV/0!</v>
      </c>
      <c r="U194" s="56" t="e">
        <v>#DIV/0!</v>
      </c>
      <c r="V194" s="56" t="e">
        <v>#DIV/0!</v>
      </c>
      <c r="W194" s="56" t="e">
        <v>#DIV/0!</v>
      </c>
      <c r="X194" s="56">
        <v>-2.4230769230769225</v>
      </c>
      <c r="Y194" s="56">
        <v>5.0146750524109018</v>
      </c>
      <c r="AA194" s="56" t="e">
        <v>#DIV/0!</v>
      </c>
      <c r="AB194" s="57"/>
      <c r="AD194" s="56" t="e">
        <v>#DIV/0!</v>
      </c>
      <c r="AE194" s="57"/>
    </row>
    <row r="195" spans="1:31" ht="6.95" customHeight="1" x14ac:dyDescent="0.2">
      <c r="C195" s="4"/>
      <c r="D195" s="4"/>
      <c r="F195" s="96"/>
      <c r="H195" s="16"/>
      <c r="I195" s="16"/>
      <c r="J195" s="16"/>
      <c r="K195" s="85"/>
      <c r="L195" s="85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AA195" s="16"/>
      <c r="AB195" s="20"/>
      <c r="AD195" s="16"/>
      <c r="AE195" s="20"/>
    </row>
    <row r="196" spans="1:31" ht="18" customHeight="1" x14ac:dyDescent="0.2">
      <c r="A196" s="35"/>
      <c r="B196" s="35"/>
      <c r="C196" s="4">
        <v>-53.20754716981132</v>
      </c>
      <c r="D196" s="4">
        <v>-1.0008703220191471</v>
      </c>
      <c r="F196" s="101" t="s">
        <v>278</v>
      </c>
      <c r="H196" s="77">
        <v>22.712000000000046</v>
      </c>
      <c r="I196" s="77">
        <v>-119.03999999999999</v>
      </c>
      <c r="J196" s="77">
        <v>-119.03999999999999</v>
      </c>
      <c r="K196" s="114">
        <v>-0.106</v>
      </c>
      <c r="L196" s="114">
        <v>0</v>
      </c>
      <c r="M196" s="77">
        <v>2.8329999999999997</v>
      </c>
      <c r="N196" s="77">
        <v>-9.5469999999999988</v>
      </c>
      <c r="O196" s="77">
        <v>-8.8000000000000009E-2</v>
      </c>
      <c r="P196" s="77">
        <v>-3.999999999999998E-2</v>
      </c>
      <c r="Q196" s="77">
        <v>-4.7000000000000007E-2</v>
      </c>
      <c r="R196" s="77">
        <v>0.80400000000000005</v>
      </c>
      <c r="S196" s="77">
        <v>-0.38900000000000001</v>
      </c>
      <c r="T196" s="77">
        <v>-5.600000000000005E-2</v>
      </c>
      <c r="U196" s="77">
        <v>-3.5999999999999976E-2</v>
      </c>
      <c r="V196" s="77">
        <v>-3.7000000000000033E-2</v>
      </c>
      <c r="W196" s="77">
        <v>-3.1999999999999973E-2</v>
      </c>
      <c r="X196" s="77">
        <v>0.8899999999999999</v>
      </c>
      <c r="Y196" s="77">
        <v>-5.7450000000000001</v>
      </c>
      <c r="AA196" s="77">
        <v>-0.106</v>
      </c>
      <c r="AB196" s="60">
        <v>-5.64</v>
      </c>
      <c r="AD196" s="77">
        <v>0</v>
      </c>
      <c r="AE196" s="60">
        <v>-5.75</v>
      </c>
    </row>
    <row r="197" spans="1:31" ht="12.95" customHeight="1" x14ac:dyDescent="0.2">
      <c r="A197" s="35"/>
      <c r="B197" s="35"/>
      <c r="C197" s="4"/>
      <c r="D197" s="4"/>
      <c r="F197" s="39" t="s">
        <v>223</v>
      </c>
      <c r="H197" s="56">
        <v>4.9139326173311855E-2</v>
      </c>
      <c r="I197" s="56">
        <v>-1.0547207258293165</v>
      </c>
      <c r="J197" s="56">
        <v>-1.0547207258293165</v>
      </c>
      <c r="K197" s="109" t="e">
        <v>#DIV/0!</v>
      </c>
      <c r="L197" s="109" t="e">
        <v>#DIV/0!</v>
      </c>
      <c r="M197" s="56" t="e">
        <v>#DIV/0!</v>
      </c>
      <c r="N197" s="56">
        <v>-19.132264529058112</v>
      </c>
      <c r="O197" s="56" t="e">
        <v>#DIV/0!</v>
      </c>
      <c r="P197" s="56" t="e">
        <v>#DIV/0!</v>
      </c>
      <c r="Q197" s="56" t="e">
        <v>#DIV/0!</v>
      </c>
      <c r="R197" s="56">
        <v>0.95828367103694867</v>
      </c>
      <c r="S197" s="56">
        <v>2.3293413173652691</v>
      </c>
      <c r="T197" s="56" t="e">
        <v>#DIV/0!</v>
      </c>
      <c r="U197" s="56" t="e">
        <v>#DIV/0!</v>
      </c>
      <c r="V197" s="56" t="e">
        <v>#DIV/0!</v>
      </c>
      <c r="W197" s="56" t="e">
        <v>#DIV/0!</v>
      </c>
      <c r="X197" s="56">
        <v>3.4230769230769225</v>
      </c>
      <c r="Y197" s="56">
        <v>-4.0146750524109018</v>
      </c>
      <c r="AA197" s="56" t="e">
        <v>#DIV/0!</v>
      </c>
      <c r="AB197" s="57"/>
      <c r="AD197" s="56" t="e">
        <v>#DIV/0!</v>
      </c>
      <c r="AE197" s="57"/>
    </row>
    <row r="198" spans="1:31" ht="6.95" customHeight="1" x14ac:dyDescent="0.2">
      <c r="C198" s="4"/>
      <c r="D198" s="4"/>
      <c r="F198" s="96"/>
      <c r="H198" s="16"/>
      <c r="I198" s="16"/>
      <c r="J198" s="16"/>
      <c r="K198" s="85"/>
      <c r="L198" s="85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AA198" s="16"/>
      <c r="AB198" s="20"/>
      <c r="AD198" s="16"/>
      <c r="AE198" s="20"/>
    </row>
    <row r="199" spans="1:31" ht="18" hidden="1" customHeight="1" outlineLevel="1" x14ac:dyDescent="0.2">
      <c r="A199" s="30" t="s">
        <v>36</v>
      </c>
      <c r="B199" s="30" t="s">
        <v>243</v>
      </c>
      <c r="C199" s="4"/>
      <c r="D199" s="4"/>
      <c r="F199" s="51" t="s">
        <v>246</v>
      </c>
      <c r="G199" s="34"/>
      <c r="H199" s="72">
        <v>0</v>
      </c>
      <c r="I199" s="72">
        <v>0</v>
      </c>
      <c r="J199" s="72">
        <v>0</v>
      </c>
      <c r="K199" s="111">
        <v>0</v>
      </c>
      <c r="L199" s="111">
        <v>0</v>
      </c>
      <c r="M199" s="72">
        <v>0</v>
      </c>
      <c r="N199" s="72">
        <v>0</v>
      </c>
      <c r="O199" s="72">
        <v>0</v>
      </c>
      <c r="P199" s="72">
        <v>0</v>
      </c>
      <c r="Q199" s="72">
        <v>0</v>
      </c>
      <c r="R199" s="72">
        <v>0</v>
      </c>
      <c r="S199" s="72">
        <v>0</v>
      </c>
      <c r="T199" s="72">
        <v>0</v>
      </c>
      <c r="U199" s="72">
        <v>0</v>
      </c>
      <c r="V199" s="72">
        <v>0</v>
      </c>
      <c r="W199" s="72">
        <v>0</v>
      </c>
      <c r="X199" s="72">
        <v>0</v>
      </c>
      <c r="Y199" s="72">
        <v>0</v>
      </c>
      <c r="Z199" s="34"/>
      <c r="AA199" s="72">
        <v>0</v>
      </c>
      <c r="AB199" s="73">
        <v>0</v>
      </c>
      <c r="AC199" s="34"/>
      <c r="AD199" s="72">
        <v>0</v>
      </c>
      <c r="AE199" s="73">
        <v>0</v>
      </c>
    </row>
    <row r="200" spans="1:31" ht="18" hidden="1" customHeight="1" outlineLevel="1" x14ac:dyDescent="0.2">
      <c r="A200" s="30" t="s">
        <v>36</v>
      </c>
      <c r="B200" s="30" t="s">
        <v>244</v>
      </c>
      <c r="C200" s="4"/>
      <c r="D200" s="4"/>
      <c r="F200" s="51" t="s">
        <v>247</v>
      </c>
      <c r="G200" s="34"/>
      <c r="H200" s="72">
        <v>0</v>
      </c>
      <c r="I200" s="72">
        <v>0</v>
      </c>
      <c r="J200" s="72">
        <v>0</v>
      </c>
      <c r="K200" s="111">
        <v>0</v>
      </c>
      <c r="L200" s="111">
        <v>0</v>
      </c>
      <c r="M200" s="72">
        <v>0</v>
      </c>
      <c r="N200" s="72">
        <v>0</v>
      </c>
      <c r="O200" s="72">
        <v>0</v>
      </c>
      <c r="P200" s="72">
        <v>0</v>
      </c>
      <c r="Q200" s="72">
        <v>0</v>
      </c>
      <c r="R200" s="72">
        <v>0</v>
      </c>
      <c r="S200" s="72">
        <v>0</v>
      </c>
      <c r="T200" s="72">
        <v>0</v>
      </c>
      <c r="U200" s="72">
        <v>0</v>
      </c>
      <c r="V200" s="72">
        <v>0</v>
      </c>
      <c r="W200" s="72">
        <v>0</v>
      </c>
      <c r="X200" s="72">
        <v>0</v>
      </c>
      <c r="Y200" s="72">
        <v>0</v>
      </c>
      <c r="Z200" s="34"/>
      <c r="AA200" s="72">
        <v>0</v>
      </c>
      <c r="AB200" s="73">
        <v>0</v>
      </c>
      <c r="AC200" s="34"/>
      <c r="AD200" s="72">
        <v>0</v>
      </c>
      <c r="AE200" s="73">
        <v>0</v>
      </c>
    </row>
    <row r="201" spans="1:31" ht="18" hidden="1" customHeight="1" outlineLevel="1" x14ac:dyDescent="0.2">
      <c r="A201" s="30" t="s">
        <v>36</v>
      </c>
      <c r="B201" s="30" t="s">
        <v>245</v>
      </c>
      <c r="C201" s="4"/>
      <c r="D201" s="4"/>
      <c r="F201" s="51" t="s">
        <v>248</v>
      </c>
      <c r="G201" s="34"/>
      <c r="H201" s="72">
        <v>2.2599999999999998</v>
      </c>
      <c r="I201" s="72">
        <v>1.105</v>
      </c>
      <c r="J201" s="72">
        <v>1.105</v>
      </c>
      <c r="K201" s="111">
        <v>0</v>
      </c>
      <c r="L201" s="111">
        <v>0</v>
      </c>
      <c r="M201" s="72">
        <v>0</v>
      </c>
      <c r="N201" s="72">
        <v>0</v>
      </c>
      <c r="O201" s="72">
        <v>0</v>
      </c>
      <c r="P201" s="72">
        <v>0</v>
      </c>
      <c r="Q201" s="72">
        <v>0</v>
      </c>
      <c r="R201" s="72">
        <v>0</v>
      </c>
      <c r="S201" s="72">
        <v>0</v>
      </c>
      <c r="T201" s="72">
        <v>0</v>
      </c>
      <c r="U201" s="72">
        <v>0</v>
      </c>
      <c r="V201" s="72">
        <v>0</v>
      </c>
      <c r="W201" s="72">
        <v>0</v>
      </c>
      <c r="X201" s="72">
        <v>0</v>
      </c>
      <c r="Y201" s="72">
        <v>0</v>
      </c>
      <c r="Z201" s="34"/>
      <c r="AA201" s="72">
        <v>0</v>
      </c>
      <c r="AB201" s="73">
        <v>0</v>
      </c>
      <c r="AC201" s="34"/>
      <c r="AD201" s="72">
        <v>0</v>
      </c>
      <c r="AE201" s="73">
        <v>0</v>
      </c>
    </row>
    <row r="202" spans="1:31" ht="18" customHeight="1" collapsed="1" x14ac:dyDescent="0.2">
      <c r="A202" s="30" t="s">
        <v>36</v>
      </c>
      <c r="B202" s="30" t="s">
        <v>22</v>
      </c>
      <c r="C202" s="4"/>
      <c r="D202" s="4"/>
      <c r="F202" s="97" t="s">
        <v>250</v>
      </c>
      <c r="H202" s="74">
        <v>2.2599999999999998</v>
      </c>
      <c r="I202" s="74">
        <v>1.105</v>
      </c>
      <c r="J202" s="74">
        <v>1.105</v>
      </c>
      <c r="K202" s="112">
        <v>0</v>
      </c>
      <c r="L202" s="112">
        <v>0</v>
      </c>
      <c r="M202" s="74">
        <v>0</v>
      </c>
      <c r="N202" s="74">
        <v>0</v>
      </c>
      <c r="O202" s="74">
        <v>0</v>
      </c>
      <c r="P202" s="74">
        <v>0</v>
      </c>
      <c r="Q202" s="74">
        <v>0</v>
      </c>
      <c r="R202" s="74">
        <v>0</v>
      </c>
      <c r="S202" s="74">
        <v>0</v>
      </c>
      <c r="T202" s="74">
        <v>0</v>
      </c>
      <c r="U202" s="74">
        <v>0</v>
      </c>
      <c r="V202" s="74">
        <v>0</v>
      </c>
      <c r="W202" s="74">
        <v>0</v>
      </c>
      <c r="X202" s="74">
        <v>0</v>
      </c>
      <c r="Y202" s="74">
        <v>0</v>
      </c>
      <c r="AA202" s="74">
        <v>0</v>
      </c>
      <c r="AB202" s="73">
        <v>0</v>
      </c>
      <c r="AD202" s="74">
        <v>0</v>
      </c>
      <c r="AE202" s="73">
        <v>0</v>
      </c>
    </row>
    <row r="203" spans="1:31" ht="18" hidden="1" customHeight="1" outlineLevel="1" collapsed="1" x14ac:dyDescent="0.2">
      <c r="A203" s="33" t="s">
        <v>211</v>
      </c>
      <c r="B203" s="33" t="s">
        <v>22</v>
      </c>
      <c r="C203" s="4"/>
      <c r="D203" s="4"/>
      <c r="F203" s="98" t="s">
        <v>212</v>
      </c>
      <c r="G203" s="34"/>
      <c r="H203" s="75">
        <v>2.2719999999999998</v>
      </c>
      <c r="I203" s="75">
        <v>1.163</v>
      </c>
      <c r="J203" s="75">
        <v>1.163</v>
      </c>
      <c r="K203" s="112">
        <v>0</v>
      </c>
      <c r="L203" s="112">
        <v>0</v>
      </c>
      <c r="M203" s="75">
        <v>0</v>
      </c>
      <c r="N203" s="75">
        <v>0</v>
      </c>
      <c r="O203" s="75">
        <v>0</v>
      </c>
      <c r="P203" s="75">
        <v>0</v>
      </c>
      <c r="Q203" s="75">
        <v>0</v>
      </c>
      <c r="R203" s="75">
        <v>0</v>
      </c>
      <c r="S203" s="75">
        <v>0</v>
      </c>
      <c r="T203" s="75">
        <v>0</v>
      </c>
      <c r="U203" s="75">
        <v>0</v>
      </c>
      <c r="V203" s="75">
        <v>0</v>
      </c>
      <c r="W203" s="75">
        <v>0</v>
      </c>
      <c r="X203" s="75">
        <v>0</v>
      </c>
      <c r="Y203" s="75">
        <v>0</v>
      </c>
      <c r="Z203" s="34"/>
      <c r="AA203" s="75">
        <v>0</v>
      </c>
      <c r="AB203" s="76">
        <v>0</v>
      </c>
      <c r="AC203" s="34"/>
      <c r="AD203" s="75">
        <v>0</v>
      </c>
      <c r="AE203" s="76">
        <v>0</v>
      </c>
    </row>
    <row r="204" spans="1:31" ht="18" hidden="1" customHeight="1" outlineLevel="1" collapsed="1" x14ac:dyDescent="0.2">
      <c r="A204" s="35"/>
      <c r="B204" s="35"/>
      <c r="C204" s="4"/>
      <c r="D204" s="4"/>
      <c r="F204" s="97" t="s">
        <v>251</v>
      </c>
      <c r="H204" s="74">
        <v>1.2000000000000011E-2</v>
      </c>
      <c r="I204" s="74">
        <v>5.8000000000000052E-2</v>
      </c>
      <c r="J204" s="74">
        <v>5.8000000000000052E-2</v>
      </c>
      <c r="K204" s="112">
        <v>0</v>
      </c>
      <c r="L204" s="112">
        <v>0</v>
      </c>
      <c r="M204" s="74">
        <v>0</v>
      </c>
      <c r="N204" s="74">
        <v>0</v>
      </c>
      <c r="O204" s="74">
        <v>0</v>
      </c>
      <c r="P204" s="74">
        <v>0</v>
      </c>
      <c r="Q204" s="74">
        <v>0</v>
      </c>
      <c r="R204" s="74">
        <v>0</v>
      </c>
      <c r="S204" s="74">
        <v>0</v>
      </c>
      <c r="T204" s="74">
        <v>0</v>
      </c>
      <c r="U204" s="74">
        <v>0</v>
      </c>
      <c r="V204" s="74">
        <v>0</v>
      </c>
      <c r="W204" s="74">
        <v>0</v>
      </c>
      <c r="X204" s="74">
        <v>0</v>
      </c>
      <c r="Y204" s="74">
        <v>0</v>
      </c>
      <c r="AA204" s="74">
        <v>0</v>
      </c>
      <c r="AB204" s="73">
        <v>0</v>
      </c>
      <c r="AD204" s="74">
        <v>0</v>
      </c>
      <c r="AE204" s="73">
        <v>0</v>
      </c>
    </row>
    <row r="205" spans="1:31" ht="12.95" hidden="1" customHeight="1" outlineLevel="1" x14ac:dyDescent="0.2">
      <c r="A205" s="35"/>
      <c r="B205" s="35"/>
      <c r="C205" s="4"/>
      <c r="D205" s="4"/>
      <c r="F205" s="39" t="s">
        <v>37</v>
      </c>
      <c r="H205" s="68">
        <v>5.2816901408450755E-3</v>
      </c>
      <c r="I205" s="68">
        <v>4.9871023215821195E-2</v>
      </c>
      <c r="J205" s="68">
        <v>4.9871023215821195E-2</v>
      </c>
      <c r="K205" s="113">
        <v>0</v>
      </c>
      <c r="L205" s="113">
        <v>0</v>
      </c>
      <c r="M205" s="68">
        <v>0</v>
      </c>
      <c r="N205" s="68">
        <v>0</v>
      </c>
      <c r="O205" s="68">
        <v>0</v>
      </c>
      <c r="P205" s="68">
        <v>0</v>
      </c>
      <c r="Q205" s="68">
        <v>0</v>
      </c>
      <c r="R205" s="68">
        <v>0</v>
      </c>
      <c r="S205" s="68">
        <v>0</v>
      </c>
      <c r="T205" s="68">
        <v>0</v>
      </c>
      <c r="U205" s="68">
        <v>0</v>
      </c>
      <c r="V205" s="68">
        <v>0</v>
      </c>
      <c r="W205" s="68">
        <v>0</v>
      </c>
      <c r="X205" s="68">
        <v>0</v>
      </c>
      <c r="Y205" s="68">
        <v>0</v>
      </c>
      <c r="AA205" s="68">
        <v>0</v>
      </c>
      <c r="AB205" s="69"/>
      <c r="AD205" s="68">
        <v>0</v>
      </c>
      <c r="AE205" s="69"/>
    </row>
    <row r="206" spans="1:31" ht="18" customHeight="1" collapsed="1" x14ac:dyDescent="0.2">
      <c r="A206" s="30" t="s">
        <v>220</v>
      </c>
      <c r="B206" s="30" t="s">
        <v>22</v>
      </c>
      <c r="C206" s="4">
        <v>1</v>
      </c>
      <c r="D206" s="4">
        <v>1</v>
      </c>
      <c r="F206" s="106" t="s">
        <v>66</v>
      </c>
      <c r="H206" s="61">
        <v>-105.334</v>
      </c>
      <c r="I206" s="61">
        <v>-34.146000000000001</v>
      </c>
      <c r="J206" s="61">
        <v>-34.146000000000001</v>
      </c>
      <c r="K206" s="86">
        <v>0</v>
      </c>
      <c r="L206" s="86">
        <v>0</v>
      </c>
      <c r="M206" s="61">
        <v>0.72</v>
      </c>
      <c r="N206" s="61">
        <v>0</v>
      </c>
      <c r="O206" s="61">
        <v>0</v>
      </c>
      <c r="P206" s="61">
        <v>0</v>
      </c>
      <c r="Q206" s="61">
        <v>0</v>
      </c>
      <c r="R206" s="61">
        <v>0</v>
      </c>
      <c r="S206" s="61">
        <v>0</v>
      </c>
      <c r="T206" s="61">
        <v>0</v>
      </c>
      <c r="U206" s="61">
        <v>0</v>
      </c>
      <c r="V206" s="61">
        <v>0</v>
      </c>
      <c r="W206" s="61">
        <v>0</v>
      </c>
      <c r="X206" s="61">
        <v>0</v>
      </c>
      <c r="Y206" s="61">
        <v>0.72</v>
      </c>
      <c r="AA206" s="61">
        <v>0</v>
      </c>
      <c r="AB206" s="60">
        <v>0.72</v>
      </c>
      <c r="AD206" s="61">
        <v>0</v>
      </c>
      <c r="AE206" s="60">
        <v>0.72</v>
      </c>
    </row>
    <row r="207" spans="1:31" ht="18" customHeight="1" x14ac:dyDescent="0.2">
      <c r="A207" s="30" t="s">
        <v>218</v>
      </c>
      <c r="B207" s="30" t="s">
        <v>22</v>
      </c>
      <c r="C207" s="4">
        <v>0</v>
      </c>
      <c r="D207" s="4">
        <v>0</v>
      </c>
      <c r="F207" s="104" t="s">
        <v>219</v>
      </c>
      <c r="G207" s="36"/>
      <c r="H207" s="65">
        <v>-1.885</v>
      </c>
      <c r="I207" s="65">
        <v>0.38300000000000001</v>
      </c>
      <c r="J207" s="65">
        <v>0.38300000000000001</v>
      </c>
      <c r="K207" s="65">
        <v>0</v>
      </c>
      <c r="L207" s="65">
        <v>0</v>
      </c>
      <c r="M207" s="65">
        <v>0</v>
      </c>
      <c r="N207" s="65">
        <v>0</v>
      </c>
      <c r="O207" s="65">
        <v>0</v>
      </c>
      <c r="P207" s="65">
        <v>0</v>
      </c>
      <c r="Q207" s="65">
        <v>0</v>
      </c>
      <c r="R207" s="65">
        <v>0</v>
      </c>
      <c r="S207" s="65">
        <v>0</v>
      </c>
      <c r="T207" s="65">
        <v>0</v>
      </c>
      <c r="U207" s="65">
        <v>0</v>
      </c>
      <c r="V207" s="65">
        <v>0</v>
      </c>
      <c r="W207" s="65">
        <v>0</v>
      </c>
      <c r="X207" s="65">
        <v>0</v>
      </c>
      <c r="Y207" s="65">
        <v>0</v>
      </c>
      <c r="Z207" s="36"/>
      <c r="AA207" s="65">
        <v>0</v>
      </c>
      <c r="AB207" s="60">
        <v>0</v>
      </c>
      <c r="AC207" s="36"/>
      <c r="AD207" s="65">
        <v>0</v>
      </c>
      <c r="AE207" s="60">
        <v>0</v>
      </c>
    </row>
    <row r="208" spans="1:31" ht="18" customHeight="1" x14ac:dyDescent="0.2">
      <c r="A208" s="30" t="s">
        <v>34</v>
      </c>
      <c r="B208" s="30" t="s">
        <v>22</v>
      </c>
      <c r="C208" s="4">
        <v>0</v>
      </c>
      <c r="D208" s="4">
        <v>0</v>
      </c>
      <c r="F208" s="106" t="s">
        <v>57</v>
      </c>
      <c r="H208" s="61">
        <v>0</v>
      </c>
      <c r="I208" s="61">
        <v>0</v>
      </c>
      <c r="J208" s="61">
        <v>0</v>
      </c>
      <c r="K208" s="86">
        <v>0</v>
      </c>
      <c r="L208" s="86">
        <v>0</v>
      </c>
      <c r="M208" s="61">
        <v>0</v>
      </c>
      <c r="N208" s="61">
        <v>0</v>
      </c>
      <c r="O208" s="61">
        <v>0</v>
      </c>
      <c r="P208" s="61">
        <v>0</v>
      </c>
      <c r="Q208" s="61">
        <v>0</v>
      </c>
      <c r="R208" s="61">
        <v>0</v>
      </c>
      <c r="S208" s="61">
        <v>0</v>
      </c>
      <c r="T208" s="61">
        <v>0</v>
      </c>
      <c r="U208" s="61">
        <v>0</v>
      </c>
      <c r="V208" s="61">
        <v>0</v>
      </c>
      <c r="W208" s="61">
        <v>0</v>
      </c>
      <c r="X208" s="61">
        <v>0</v>
      </c>
      <c r="Y208" s="61">
        <v>0</v>
      </c>
      <c r="AA208" s="61">
        <v>0</v>
      </c>
      <c r="AB208" s="60">
        <v>0</v>
      </c>
      <c r="AD208" s="61">
        <v>0</v>
      </c>
      <c r="AE208" s="60">
        <v>0</v>
      </c>
    </row>
    <row r="209" spans="1:31" ht="18" customHeight="1" x14ac:dyDescent="0.2">
      <c r="A209" s="30" t="s">
        <v>221</v>
      </c>
      <c r="B209" s="30" t="s">
        <v>22</v>
      </c>
      <c r="C209" s="4">
        <v>0</v>
      </c>
      <c r="D209" s="4">
        <v>0</v>
      </c>
      <c r="F209" s="106" t="s">
        <v>379</v>
      </c>
      <c r="H209" s="61">
        <v>0</v>
      </c>
      <c r="I209" s="61">
        <v>0</v>
      </c>
      <c r="J209" s="61">
        <v>0</v>
      </c>
      <c r="K209" s="86">
        <v>0</v>
      </c>
      <c r="L209" s="86">
        <v>0</v>
      </c>
      <c r="M209" s="61">
        <v>0</v>
      </c>
      <c r="N209" s="61">
        <v>0</v>
      </c>
      <c r="O209" s="61">
        <v>0</v>
      </c>
      <c r="P209" s="61">
        <v>0</v>
      </c>
      <c r="Q209" s="61">
        <v>0</v>
      </c>
      <c r="R209" s="61">
        <v>0</v>
      </c>
      <c r="S209" s="61">
        <v>0</v>
      </c>
      <c r="T209" s="61">
        <v>0</v>
      </c>
      <c r="U209" s="61">
        <v>0</v>
      </c>
      <c r="V209" s="61">
        <v>0</v>
      </c>
      <c r="W209" s="61">
        <v>0</v>
      </c>
      <c r="X209" s="61">
        <v>0</v>
      </c>
      <c r="Y209" s="61">
        <v>0</v>
      </c>
      <c r="AA209" s="61">
        <v>0</v>
      </c>
      <c r="AB209" s="60">
        <v>0</v>
      </c>
      <c r="AD209" s="61">
        <v>0</v>
      </c>
      <c r="AE209" s="60">
        <v>0</v>
      </c>
    </row>
    <row r="210" spans="1:31" ht="18" customHeight="1" x14ac:dyDescent="0.2">
      <c r="A210" s="30" t="s">
        <v>430</v>
      </c>
      <c r="B210" s="30" t="s">
        <v>22</v>
      </c>
      <c r="C210" s="4">
        <v>0</v>
      </c>
      <c r="D210" s="4">
        <v>0</v>
      </c>
      <c r="F210" s="106" t="s">
        <v>431</v>
      </c>
      <c r="H210" s="61">
        <v>0</v>
      </c>
      <c r="I210" s="61">
        <v>0</v>
      </c>
      <c r="J210" s="61">
        <v>0</v>
      </c>
      <c r="K210" s="86">
        <v>0</v>
      </c>
      <c r="L210" s="86">
        <v>0</v>
      </c>
      <c r="M210" s="61">
        <v>0</v>
      </c>
      <c r="N210" s="61">
        <v>0</v>
      </c>
      <c r="O210" s="61">
        <v>0</v>
      </c>
      <c r="P210" s="61">
        <v>0</v>
      </c>
      <c r="Q210" s="61">
        <v>0</v>
      </c>
      <c r="R210" s="61">
        <v>0</v>
      </c>
      <c r="S210" s="61">
        <v>0</v>
      </c>
      <c r="T210" s="61">
        <v>0</v>
      </c>
      <c r="U210" s="61">
        <v>0</v>
      </c>
      <c r="V210" s="61">
        <v>0</v>
      </c>
      <c r="W210" s="61">
        <v>0</v>
      </c>
      <c r="X210" s="61">
        <v>0</v>
      </c>
      <c r="Y210" s="61">
        <v>0</v>
      </c>
      <c r="AA210" s="61">
        <v>0</v>
      </c>
      <c r="AB210" s="60">
        <v>0</v>
      </c>
      <c r="AD210" s="61">
        <v>0</v>
      </c>
      <c r="AE210" s="60">
        <v>0</v>
      </c>
    </row>
    <row r="211" spans="1:31" ht="18" customHeight="1" x14ac:dyDescent="0.2">
      <c r="A211" s="30" t="s">
        <v>35</v>
      </c>
      <c r="B211" s="30" t="s">
        <v>22</v>
      </c>
      <c r="C211" s="4">
        <v>0</v>
      </c>
      <c r="D211" s="4">
        <v>0</v>
      </c>
      <c r="F211" s="106" t="s">
        <v>67</v>
      </c>
      <c r="H211" s="61">
        <v>0</v>
      </c>
      <c r="I211" s="61">
        <v>0</v>
      </c>
      <c r="J211" s="61">
        <v>0</v>
      </c>
      <c r="K211" s="86">
        <v>0</v>
      </c>
      <c r="L211" s="86">
        <v>0</v>
      </c>
      <c r="M211" s="61">
        <v>0</v>
      </c>
      <c r="N211" s="61">
        <v>0</v>
      </c>
      <c r="O211" s="61">
        <v>0</v>
      </c>
      <c r="P211" s="61">
        <v>0</v>
      </c>
      <c r="Q211" s="61">
        <v>0</v>
      </c>
      <c r="R211" s="61">
        <v>0</v>
      </c>
      <c r="S211" s="61">
        <v>0</v>
      </c>
      <c r="T211" s="61">
        <v>0</v>
      </c>
      <c r="U211" s="61">
        <v>0</v>
      </c>
      <c r="V211" s="61">
        <v>0</v>
      </c>
      <c r="W211" s="61">
        <v>0</v>
      </c>
      <c r="X211" s="61">
        <v>0</v>
      </c>
      <c r="Y211" s="61">
        <v>0</v>
      </c>
      <c r="AA211" s="61">
        <v>0</v>
      </c>
      <c r="AB211" s="60">
        <v>0</v>
      </c>
      <c r="AD211" s="61">
        <v>0</v>
      </c>
      <c r="AE211" s="60">
        <v>0</v>
      </c>
    </row>
    <row r="212" spans="1:31" ht="18" hidden="1" customHeight="1" outlineLevel="1" collapsed="1" x14ac:dyDescent="0.2">
      <c r="A212" s="35"/>
      <c r="B212" s="35"/>
      <c r="C212" s="4"/>
      <c r="D212" s="4"/>
      <c r="F212" s="97" t="s">
        <v>454</v>
      </c>
      <c r="H212" s="74">
        <v>0</v>
      </c>
      <c r="I212" s="74">
        <v>0</v>
      </c>
      <c r="J212" s="74">
        <v>0</v>
      </c>
      <c r="K212" s="112">
        <v>0</v>
      </c>
      <c r="L212" s="112">
        <v>0</v>
      </c>
      <c r="M212" s="74">
        <v>0</v>
      </c>
      <c r="N212" s="74">
        <v>0</v>
      </c>
      <c r="O212" s="74">
        <v>0</v>
      </c>
      <c r="P212" s="74">
        <v>0</v>
      </c>
      <c r="Q212" s="74">
        <v>0</v>
      </c>
      <c r="R212" s="74">
        <v>0</v>
      </c>
      <c r="S212" s="74">
        <v>0</v>
      </c>
      <c r="T212" s="74">
        <v>0</v>
      </c>
      <c r="U212" s="74">
        <v>0</v>
      </c>
      <c r="V212" s="74">
        <v>0</v>
      </c>
      <c r="W212" s="74">
        <v>0</v>
      </c>
      <c r="X212" s="74">
        <v>0</v>
      </c>
      <c r="Y212" s="74">
        <v>0</v>
      </c>
      <c r="AA212" s="74">
        <v>0</v>
      </c>
      <c r="AB212" s="73">
        <v>0</v>
      </c>
      <c r="AD212" s="74">
        <v>0</v>
      </c>
      <c r="AE212" s="73">
        <v>0</v>
      </c>
    </row>
    <row r="213" spans="1:31" ht="18" customHeight="1" collapsed="1" x14ac:dyDescent="0.2">
      <c r="A213" s="30" t="s">
        <v>20</v>
      </c>
      <c r="B213" s="30" t="s">
        <v>22</v>
      </c>
      <c r="C213" s="4">
        <v>0</v>
      </c>
      <c r="D213" s="4">
        <v>0</v>
      </c>
      <c r="F213" s="106" t="s">
        <v>68</v>
      </c>
      <c r="H213" s="61">
        <v>0</v>
      </c>
      <c r="I213" s="61">
        <v>0</v>
      </c>
      <c r="J213" s="61">
        <v>0</v>
      </c>
      <c r="K213" s="86">
        <v>0</v>
      </c>
      <c r="L213" s="86">
        <v>0</v>
      </c>
      <c r="M213" s="61">
        <v>0</v>
      </c>
      <c r="N213" s="61">
        <v>0</v>
      </c>
      <c r="O213" s="61">
        <v>0</v>
      </c>
      <c r="P213" s="61">
        <v>0</v>
      </c>
      <c r="Q213" s="61">
        <v>0</v>
      </c>
      <c r="R213" s="61">
        <v>0</v>
      </c>
      <c r="S213" s="61">
        <v>0</v>
      </c>
      <c r="T213" s="61">
        <v>0</v>
      </c>
      <c r="U213" s="61">
        <v>0</v>
      </c>
      <c r="V213" s="61">
        <v>0</v>
      </c>
      <c r="W213" s="61">
        <v>0</v>
      </c>
      <c r="X213" s="61">
        <v>0</v>
      </c>
      <c r="Y213" s="61">
        <v>0</v>
      </c>
      <c r="AA213" s="61">
        <v>0</v>
      </c>
      <c r="AB213" s="60">
        <v>0</v>
      </c>
      <c r="AD213" s="61">
        <v>0</v>
      </c>
      <c r="AE213" s="60">
        <v>0</v>
      </c>
    </row>
    <row r="214" spans="1:31" ht="18" customHeight="1" x14ac:dyDescent="0.2">
      <c r="A214" s="35"/>
      <c r="B214" s="35"/>
      <c r="C214" s="4">
        <v>1</v>
      </c>
      <c r="D214" s="4">
        <v>1</v>
      </c>
      <c r="F214" s="95" t="s">
        <v>275</v>
      </c>
      <c r="H214" s="198">
        <v>-107.21900000000001</v>
      </c>
      <c r="I214" s="198">
        <v>-33.762999999999998</v>
      </c>
      <c r="J214" s="198">
        <v>-33.762999999999998</v>
      </c>
      <c r="K214" s="89">
        <v>0</v>
      </c>
      <c r="L214" s="89">
        <v>0</v>
      </c>
      <c r="M214" s="64">
        <v>0.72</v>
      </c>
      <c r="N214" s="64">
        <v>0</v>
      </c>
      <c r="O214" s="64">
        <v>0</v>
      </c>
      <c r="P214" s="64">
        <v>0</v>
      </c>
      <c r="Q214" s="64">
        <v>0</v>
      </c>
      <c r="R214" s="64">
        <v>0</v>
      </c>
      <c r="S214" s="64">
        <v>0</v>
      </c>
      <c r="T214" s="64">
        <v>0</v>
      </c>
      <c r="U214" s="64">
        <v>0</v>
      </c>
      <c r="V214" s="64">
        <v>0</v>
      </c>
      <c r="W214" s="64">
        <v>0</v>
      </c>
      <c r="X214" s="64">
        <v>0</v>
      </c>
      <c r="Y214" s="64">
        <v>0.72</v>
      </c>
      <c r="AA214" s="64">
        <v>0</v>
      </c>
      <c r="AB214" s="60">
        <v>0.72</v>
      </c>
      <c r="AD214" s="64">
        <v>0</v>
      </c>
      <c r="AE214" s="60">
        <v>0.72</v>
      </c>
    </row>
    <row r="215" spans="1:31" ht="12.95" customHeight="1" x14ac:dyDescent="0.2">
      <c r="A215" s="35"/>
      <c r="B215" s="35"/>
      <c r="C215" s="4"/>
      <c r="D215" s="4"/>
      <c r="F215" s="39" t="s">
        <v>223</v>
      </c>
      <c r="H215" s="56">
        <v>0.23197734294541711</v>
      </c>
      <c r="I215" s="56">
        <v>0.29914764672526223</v>
      </c>
      <c r="J215" s="56">
        <v>0.29914764672526223</v>
      </c>
      <c r="K215" s="109" t="e">
        <v>#DIV/0!</v>
      </c>
      <c r="L215" s="109" t="e">
        <v>#DIV/0!</v>
      </c>
      <c r="M215" s="56" t="e">
        <v>#DIV/0!</v>
      </c>
      <c r="N215" s="56">
        <v>0</v>
      </c>
      <c r="O215" s="56" t="e">
        <v>#DIV/0!</v>
      </c>
      <c r="P215" s="56" t="e">
        <v>#DIV/0!</v>
      </c>
      <c r="Q215" s="56" t="e">
        <v>#DIV/0!</v>
      </c>
      <c r="R215" s="56">
        <v>0</v>
      </c>
      <c r="S215" s="56">
        <v>0</v>
      </c>
      <c r="T215" s="56" t="e">
        <v>#DIV/0!</v>
      </c>
      <c r="U215" s="56" t="e">
        <v>#DIV/0!</v>
      </c>
      <c r="V215" s="56" t="e">
        <v>#DIV/0!</v>
      </c>
      <c r="W215" s="56" t="e">
        <v>#DIV/0!</v>
      </c>
      <c r="X215" s="56">
        <v>0</v>
      </c>
      <c r="Y215" s="56">
        <v>-0.50314465408805031</v>
      </c>
      <c r="AA215" s="56" t="e">
        <v>#DIV/0!</v>
      </c>
      <c r="AB215" s="57"/>
      <c r="AD215" s="56" t="e">
        <v>#DIV/0!</v>
      </c>
      <c r="AE215" s="57"/>
    </row>
    <row r="216" spans="1:31" ht="6.95" customHeight="1" x14ac:dyDescent="0.2">
      <c r="C216" s="4"/>
      <c r="D216" s="4"/>
      <c r="F216" s="96"/>
      <c r="H216" s="16"/>
      <c r="I216" s="16"/>
      <c r="J216" s="16"/>
      <c r="K216" s="85"/>
      <c r="L216" s="85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AA216" s="16"/>
      <c r="AB216" s="20"/>
      <c r="AD216" s="16"/>
      <c r="AE216" s="20"/>
    </row>
    <row r="217" spans="1:31" ht="18" customHeight="1" x14ac:dyDescent="0.2">
      <c r="A217" s="30" t="s">
        <v>70</v>
      </c>
      <c r="B217" s="30" t="s">
        <v>22</v>
      </c>
      <c r="C217" s="4"/>
      <c r="D217" s="4"/>
      <c r="F217" s="97" t="s">
        <v>226</v>
      </c>
      <c r="H217" s="74">
        <v>0</v>
      </c>
      <c r="I217" s="74">
        <v>0</v>
      </c>
      <c r="J217" s="74">
        <v>0</v>
      </c>
      <c r="K217" s="112">
        <v>0</v>
      </c>
      <c r="L217" s="112">
        <v>0</v>
      </c>
      <c r="M217" s="74">
        <v>0</v>
      </c>
      <c r="N217" s="74">
        <v>0</v>
      </c>
      <c r="O217" s="74">
        <v>0</v>
      </c>
      <c r="P217" s="74">
        <v>0</v>
      </c>
      <c r="Q217" s="74">
        <v>0</v>
      </c>
      <c r="R217" s="74">
        <v>0</v>
      </c>
      <c r="S217" s="74">
        <v>0</v>
      </c>
      <c r="T217" s="74">
        <v>0</v>
      </c>
      <c r="U217" s="74">
        <v>0</v>
      </c>
      <c r="V217" s="74">
        <v>0</v>
      </c>
      <c r="W217" s="74">
        <v>0</v>
      </c>
      <c r="X217" s="74">
        <v>0</v>
      </c>
      <c r="Y217" s="74">
        <v>0</v>
      </c>
      <c r="AA217" s="74">
        <v>0</v>
      </c>
      <c r="AB217" s="73">
        <v>0</v>
      </c>
      <c r="AD217" s="74">
        <v>0</v>
      </c>
      <c r="AE217" s="73">
        <v>0</v>
      </c>
    </row>
    <row r="218" spans="1:31" ht="12.95" customHeight="1" x14ac:dyDescent="0.2">
      <c r="A218" s="35"/>
      <c r="B218" s="35"/>
      <c r="C218" s="4"/>
      <c r="D218" s="4"/>
      <c r="F218" s="39" t="s">
        <v>71</v>
      </c>
      <c r="H218" s="132">
        <v>0</v>
      </c>
      <c r="I218" s="132">
        <v>0</v>
      </c>
      <c r="J218" s="132">
        <v>0</v>
      </c>
      <c r="K218" s="133">
        <v>0</v>
      </c>
      <c r="L218" s="133">
        <v>0</v>
      </c>
      <c r="M218" s="132">
        <v>0</v>
      </c>
      <c r="N218" s="132">
        <v>0</v>
      </c>
      <c r="O218" s="132">
        <v>0</v>
      </c>
      <c r="P218" s="132">
        <v>0</v>
      </c>
      <c r="Q218" s="132">
        <v>0</v>
      </c>
      <c r="R218" s="132">
        <v>0</v>
      </c>
      <c r="S218" s="132">
        <v>0</v>
      </c>
      <c r="T218" s="132">
        <v>0</v>
      </c>
      <c r="U218" s="132">
        <v>0</v>
      </c>
      <c r="V218" s="132">
        <v>0</v>
      </c>
      <c r="W218" s="132">
        <v>0</v>
      </c>
      <c r="X218" s="132">
        <v>0</v>
      </c>
      <c r="Y218" s="132">
        <v>0</v>
      </c>
      <c r="AA218" s="132">
        <v>0</v>
      </c>
      <c r="AB218" s="134">
        <v>0</v>
      </c>
      <c r="AD218" s="132">
        <v>0</v>
      </c>
      <c r="AE218" s="134">
        <v>0</v>
      </c>
    </row>
    <row r="219" spans="1:31" ht="18" customHeight="1" x14ac:dyDescent="0.2">
      <c r="A219" s="30" t="s">
        <v>63</v>
      </c>
      <c r="B219" s="30" t="s">
        <v>22</v>
      </c>
      <c r="C219" s="4">
        <v>0</v>
      </c>
      <c r="D219" s="4">
        <v>0</v>
      </c>
      <c r="F219" s="106" t="s">
        <v>201</v>
      </c>
      <c r="H219" s="61">
        <v>0</v>
      </c>
      <c r="I219" s="61">
        <v>0</v>
      </c>
      <c r="J219" s="61">
        <v>0</v>
      </c>
      <c r="K219" s="86">
        <v>0</v>
      </c>
      <c r="L219" s="86">
        <v>0</v>
      </c>
      <c r="M219" s="61">
        <v>0</v>
      </c>
      <c r="N219" s="61">
        <v>0</v>
      </c>
      <c r="O219" s="61">
        <v>0</v>
      </c>
      <c r="P219" s="61">
        <v>0</v>
      </c>
      <c r="Q219" s="61">
        <v>0</v>
      </c>
      <c r="R219" s="61">
        <v>0</v>
      </c>
      <c r="S219" s="61">
        <v>0</v>
      </c>
      <c r="T219" s="61">
        <v>0</v>
      </c>
      <c r="U219" s="61">
        <v>0</v>
      </c>
      <c r="V219" s="61">
        <v>0</v>
      </c>
      <c r="W219" s="61">
        <v>0</v>
      </c>
      <c r="X219" s="61">
        <v>0</v>
      </c>
      <c r="Y219" s="61">
        <v>0</v>
      </c>
      <c r="AA219" s="61">
        <v>0</v>
      </c>
      <c r="AB219" s="60">
        <v>0</v>
      </c>
      <c r="AD219" s="61">
        <v>0</v>
      </c>
      <c r="AE219" s="60">
        <v>0</v>
      </c>
    </row>
    <row r="220" spans="1:31" ht="18" customHeight="1" x14ac:dyDescent="0.2">
      <c r="A220" s="30" t="s">
        <v>64</v>
      </c>
      <c r="B220" s="30" t="s">
        <v>22</v>
      </c>
      <c r="C220" s="4">
        <v>0</v>
      </c>
      <c r="D220" s="4">
        <v>0</v>
      </c>
      <c r="F220" s="106" t="s">
        <v>202</v>
      </c>
      <c r="H220" s="61">
        <v>0</v>
      </c>
      <c r="I220" s="61">
        <v>0</v>
      </c>
      <c r="J220" s="61">
        <v>0</v>
      </c>
      <c r="K220" s="86">
        <v>0</v>
      </c>
      <c r="L220" s="86">
        <v>0</v>
      </c>
      <c r="M220" s="61">
        <v>0</v>
      </c>
      <c r="N220" s="61">
        <v>0</v>
      </c>
      <c r="O220" s="61">
        <v>0</v>
      </c>
      <c r="P220" s="61">
        <v>0</v>
      </c>
      <c r="Q220" s="61">
        <v>0</v>
      </c>
      <c r="R220" s="61">
        <v>0</v>
      </c>
      <c r="S220" s="61">
        <v>0</v>
      </c>
      <c r="T220" s="61">
        <v>0</v>
      </c>
      <c r="U220" s="61">
        <v>0</v>
      </c>
      <c r="V220" s="61">
        <v>0</v>
      </c>
      <c r="W220" s="61">
        <v>0</v>
      </c>
      <c r="X220" s="61">
        <v>0</v>
      </c>
      <c r="Y220" s="61">
        <v>0</v>
      </c>
      <c r="AA220" s="61">
        <v>0</v>
      </c>
      <c r="AB220" s="60">
        <v>0</v>
      </c>
      <c r="AD220" s="61">
        <v>0</v>
      </c>
      <c r="AE220" s="60">
        <v>0</v>
      </c>
    </row>
    <row r="221" spans="1:31" ht="18" hidden="1" customHeight="1" outlineLevel="1" x14ac:dyDescent="0.2">
      <c r="A221" s="30" t="s">
        <v>150</v>
      </c>
      <c r="B221" s="30" t="s">
        <v>22</v>
      </c>
      <c r="C221" s="4">
        <v>0</v>
      </c>
      <c r="D221" s="4">
        <v>0</v>
      </c>
      <c r="F221" s="38" t="s">
        <v>151</v>
      </c>
      <c r="G221" s="34"/>
      <c r="H221" s="66">
        <v>0</v>
      </c>
      <c r="I221" s="66">
        <v>0</v>
      </c>
      <c r="J221" s="66">
        <v>0</v>
      </c>
      <c r="K221" s="86">
        <v>0</v>
      </c>
      <c r="L221" s="86">
        <v>0</v>
      </c>
      <c r="M221" s="66">
        <v>0</v>
      </c>
      <c r="N221" s="66">
        <v>0</v>
      </c>
      <c r="O221" s="66">
        <v>0</v>
      </c>
      <c r="P221" s="66">
        <v>0</v>
      </c>
      <c r="Q221" s="66">
        <v>0</v>
      </c>
      <c r="R221" s="66">
        <v>0</v>
      </c>
      <c r="S221" s="66">
        <v>0</v>
      </c>
      <c r="T221" s="66">
        <v>0</v>
      </c>
      <c r="U221" s="66">
        <v>0</v>
      </c>
      <c r="V221" s="66">
        <v>0</v>
      </c>
      <c r="W221" s="66">
        <v>0</v>
      </c>
      <c r="X221" s="66">
        <v>0</v>
      </c>
      <c r="Y221" s="66">
        <v>0</v>
      </c>
      <c r="Z221" s="34"/>
      <c r="AA221" s="66">
        <v>0</v>
      </c>
      <c r="AB221" s="60">
        <v>0</v>
      </c>
      <c r="AC221" s="34"/>
      <c r="AD221" s="66">
        <v>0</v>
      </c>
      <c r="AE221" s="60">
        <v>0</v>
      </c>
    </row>
    <row r="222" spans="1:31" ht="18" hidden="1" customHeight="1" outlineLevel="1" x14ac:dyDescent="0.2">
      <c r="A222" s="30" t="s">
        <v>168</v>
      </c>
      <c r="B222" s="30" t="s">
        <v>22</v>
      </c>
      <c r="C222" s="4">
        <v>0</v>
      </c>
      <c r="D222" s="4">
        <v>0</v>
      </c>
      <c r="F222" s="38" t="s">
        <v>169</v>
      </c>
      <c r="G222" s="34"/>
      <c r="H222" s="66">
        <v>0</v>
      </c>
      <c r="I222" s="66">
        <v>0</v>
      </c>
      <c r="J222" s="66">
        <v>0</v>
      </c>
      <c r="K222" s="86">
        <v>0</v>
      </c>
      <c r="L222" s="86">
        <v>0</v>
      </c>
      <c r="M222" s="66">
        <v>0</v>
      </c>
      <c r="N222" s="66">
        <v>0</v>
      </c>
      <c r="O222" s="66">
        <v>0</v>
      </c>
      <c r="P222" s="66">
        <v>0</v>
      </c>
      <c r="Q222" s="66">
        <v>0</v>
      </c>
      <c r="R222" s="66">
        <v>0</v>
      </c>
      <c r="S222" s="66">
        <v>0</v>
      </c>
      <c r="T222" s="66">
        <v>0</v>
      </c>
      <c r="U222" s="66">
        <v>0</v>
      </c>
      <c r="V222" s="66">
        <v>0</v>
      </c>
      <c r="W222" s="66">
        <v>0</v>
      </c>
      <c r="X222" s="66">
        <v>0</v>
      </c>
      <c r="Y222" s="66">
        <v>0</v>
      </c>
      <c r="Z222" s="34"/>
      <c r="AA222" s="66">
        <v>0</v>
      </c>
      <c r="AB222" s="60">
        <v>0</v>
      </c>
      <c r="AC222" s="34"/>
      <c r="AD222" s="66">
        <v>0</v>
      </c>
      <c r="AE222" s="60">
        <v>0</v>
      </c>
    </row>
    <row r="223" spans="1:31" ht="18" hidden="1" customHeight="1" outlineLevel="1" x14ac:dyDescent="0.2">
      <c r="A223" s="30" t="s">
        <v>170</v>
      </c>
      <c r="B223" s="30" t="s">
        <v>22</v>
      </c>
      <c r="C223" s="4">
        <v>0</v>
      </c>
      <c r="D223" s="4">
        <v>0</v>
      </c>
      <c r="F223" s="38" t="s">
        <v>171</v>
      </c>
      <c r="G223" s="34"/>
      <c r="H223" s="66">
        <v>0</v>
      </c>
      <c r="I223" s="66">
        <v>0</v>
      </c>
      <c r="J223" s="66">
        <v>0</v>
      </c>
      <c r="K223" s="86">
        <v>0</v>
      </c>
      <c r="L223" s="86">
        <v>0</v>
      </c>
      <c r="M223" s="66">
        <v>0</v>
      </c>
      <c r="N223" s="66">
        <v>0</v>
      </c>
      <c r="O223" s="66">
        <v>0</v>
      </c>
      <c r="P223" s="66">
        <v>0</v>
      </c>
      <c r="Q223" s="66">
        <v>0</v>
      </c>
      <c r="R223" s="66">
        <v>0</v>
      </c>
      <c r="S223" s="66">
        <v>0</v>
      </c>
      <c r="T223" s="66">
        <v>0</v>
      </c>
      <c r="U223" s="66">
        <v>0</v>
      </c>
      <c r="V223" s="66">
        <v>0</v>
      </c>
      <c r="W223" s="66">
        <v>0</v>
      </c>
      <c r="X223" s="66">
        <v>0</v>
      </c>
      <c r="Y223" s="66">
        <v>0</v>
      </c>
      <c r="Z223" s="34"/>
      <c r="AA223" s="66">
        <v>0</v>
      </c>
      <c r="AB223" s="60">
        <v>0</v>
      </c>
      <c r="AC223" s="34"/>
      <c r="AD223" s="66">
        <v>0</v>
      </c>
      <c r="AE223" s="60">
        <v>0</v>
      </c>
    </row>
    <row r="224" spans="1:31" ht="18" customHeight="1" collapsed="1" x14ac:dyDescent="0.2">
      <c r="A224" s="35"/>
      <c r="B224" s="35"/>
      <c r="C224" s="4">
        <v>0</v>
      </c>
      <c r="D224" s="4">
        <v>0</v>
      </c>
      <c r="F224" s="106" t="s">
        <v>151</v>
      </c>
      <c r="H224" s="61">
        <v>0</v>
      </c>
      <c r="I224" s="61">
        <v>0</v>
      </c>
      <c r="J224" s="61">
        <v>0</v>
      </c>
      <c r="K224" s="86">
        <v>0</v>
      </c>
      <c r="L224" s="86">
        <v>0</v>
      </c>
      <c r="M224" s="61">
        <v>0</v>
      </c>
      <c r="N224" s="61">
        <v>0</v>
      </c>
      <c r="O224" s="61">
        <v>0</v>
      </c>
      <c r="P224" s="61">
        <v>0</v>
      </c>
      <c r="Q224" s="61">
        <v>0</v>
      </c>
      <c r="R224" s="61">
        <v>0</v>
      </c>
      <c r="S224" s="61">
        <v>0</v>
      </c>
      <c r="T224" s="61">
        <v>0</v>
      </c>
      <c r="U224" s="61">
        <v>0</v>
      </c>
      <c r="V224" s="61">
        <v>0</v>
      </c>
      <c r="W224" s="61">
        <v>0</v>
      </c>
      <c r="X224" s="61">
        <v>0</v>
      </c>
      <c r="Y224" s="61">
        <v>0</v>
      </c>
      <c r="AA224" s="61">
        <v>0</v>
      </c>
      <c r="AB224" s="60">
        <v>0</v>
      </c>
      <c r="AD224" s="61">
        <v>0</v>
      </c>
      <c r="AE224" s="60">
        <v>0</v>
      </c>
    </row>
    <row r="225" spans="1:39" ht="18" customHeight="1" collapsed="1" x14ac:dyDescent="0.2">
      <c r="A225" s="30" t="s">
        <v>146</v>
      </c>
      <c r="B225" s="30" t="s">
        <v>22</v>
      </c>
      <c r="C225" s="4">
        <v>0</v>
      </c>
      <c r="D225" s="4">
        <v>0</v>
      </c>
      <c r="F225" s="106" t="s">
        <v>147</v>
      </c>
      <c r="H225" s="61">
        <v>0</v>
      </c>
      <c r="I225" s="61">
        <v>0</v>
      </c>
      <c r="J225" s="61">
        <v>0</v>
      </c>
      <c r="K225" s="86">
        <v>0</v>
      </c>
      <c r="L225" s="86">
        <v>0</v>
      </c>
      <c r="M225" s="61">
        <v>0</v>
      </c>
      <c r="N225" s="61">
        <v>0</v>
      </c>
      <c r="O225" s="61">
        <v>0</v>
      </c>
      <c r="P225" s="61">
        <v>0</v>
      </c>
      <c r="Q225" s="61">
        <v>0</v>
      </c>
      <c r="R225" s="61">
        <v>0</v>
      </c>
      <c r="S225" s="61">
        <v>0</v>
      </c>
      <c r="T225" s="61">
        <v>0</v>
      </c>
      <c r="U225" s="61">
        <v>0</v>
      </c>
      <c r="V225" s="61">
        <v>0</v>
      </c>
      <c r="W225" s="61">
        <v>0</v>
      </c>
      <c r="X225" s="61">
        <v>0</v>
      </c>
      <c r="Y225" s="61">
        <v>0</v>
      </c>
      <c r="AA225" s="61">
        <v>0</v>
      </c>
      <c r="AB225" s="60">
        <v>0</v>
      </c>
      <c r="AD225" s="61">
        <v>0</v>
      </c>
      <c r="AE225" s="60">
        <v>0</v>
      </c>
    </row>
    <row r="226" spans="1:39" ht="18" hidden="1" customHeight="1" outlineLevel="1" x14ac:dyDescent="0.2">
      <c r="A226" s="30" t="s">
        <v>154</v>
      </c>
      <c r="B226" s="30" t="s">
        <v>22</v>
      </c>
      <c r="C226" s="4">
        <v>0</v>
      </c>
      <c r="D226" s="4">
        <v>0</v>
      </c>
      <c r="F226" s="38" t="s">
        <v>155</v>
      </c>
      <c r="G226" s="34"/>
      <c r="H226" s="66">
        <v>0</v>
      </c>
      <c r="I226" s="66">
        <v>0</v>
      </c>
      <c r="J226" s="66">
        <v>0</v>
      </c>
      <c r="K226" s="86">
        <v>0</v>
      </c>
      <c r="L226" s="86">
        <v>0</v>
      </c>
      <c r="M226" s="66">
        <v>0</v>
      </c>
      <c r="N226" s="66">
        <v>0</v>
      </c>
      <c r="O226" s="66">
        <v>0</v>
      </c>
      <c r="P226" s="66">
        <v>0</v>
      </c>
      <c r="Q226" s="66">
        <v>0</v>
      </c>
      <c r="R226" s="66">
        <v>0</v>
      </c>
      <c r="S226" s="66">
        <v>0</v>
      </c>
      <c r="T226" s="66">
        <v>0</v>
      </c>
      <c r="U226" s="66">
        <v>0</v>
      </c>
      <c r="V226" s="66">
        <v>0</v>
      </c>
      <c r="W226" s="66">
        <v>0</v>
      </c>
      <c r="X226" s="66">
        <v>0</v>
      </c>
      <c r="Y226" s="66">
        <v>0</v>
      </c>
      <c r="Z226" s="34"/>
      <c r="AA226" s="66">
        <v>0</v>
      </c>
      <c r="AB226" s="60">
        <v>0</v>
      </c>
      <c r="AC226" s="34"/>
      <c r="AD226" s="66">
        <v>0</v>
      </c>
      <c r="AE226" s="60">
        <v>0</v>
      </c>
    </row>
    <row r="227" spans="1:39" ht="18" hidden="1" customHeight="1" outlineLevel="1" x14ac:dyDescent="0.2">
      <c r="A227" s="30" t="s">
        <v>156</v>
      </c>
      <c r="B227" s="30" t="s">
        <v>22</v>
      </c>
      <c r="C227" s="4">
        <v>0</v>
      </c>
      <c r="D227" s="4">
        <v>0</v>
      </c>
      <c r="F227" s="38" t="s">
        <v>157</v>
      </c>
      <c r="G227" s="34"/>
      <c r="H227" s="66">
        <v>0</v>
      </c>
      <c r="I227" s="66">
        <v>0</v>
      </c>
      <c r="J227" s="66">
        <v>0</v>
      </c>
      <c r="K227" s="86">
        <v>0</v>
      </c>
      <c r="L227" s="86">
        <v>0</v>
      </c>
      <c r="M227" s="66">
        <v>0</v>
      </c>
      <c r="N227" s="66">
        <v>0</v>
      </c>
      <c r="O227" s="66">
        <v>0</v>
      </c>
      <c r="P227" s="66">
        <v>0</v>
      </c>
      <c r="Q227" s="66">
        <v>0</v>
      </c>
      <c r="R227" s="66">
        <v>0</v>
      </c>
      <c r="S227" s="66">
        <v>0</v>
      </c>
      <c r="T227" s="66">
        <v>0</v>
      </c>
      <c r="U227" s="66">
        <v>0</v>
      </c>
      <c r="V227" s="66">
        <v>0</v>
      </c>
      <c r="W227" s="66">
        <v>0</v>
      </c>
      <c r="X227" s="66">
        <v>0</v>
      </c>
      <c r="Y227" s="66">
        <v>0</v>
      </c>
      <c r="Z227" s="34"/>
      <c r="AA227" s="66">
        <v>0</v>
      </c>
      <c r="AB227" s="60">
        <v>0</v>
      </c>
      <c r="AC227" s="34"/>
      <c r="AD227" s="66">
        <v>0</v>
      </c>
      <c r="AE227" s="60">
        <v>0</v>
      </c>
    </row>
    <row r="228" spans="1:39" ht="18" hidden="1" customHeight="1" outlineLevel="1" x14ac:dyDescent="0.2">
      <c r="A228" s="30" t="s">
        <v>160</v>
      </c>
      <c r="B228" s="30" t="s">
        <v>22</v>
      </c>
      <c r="C228" s="4">
        <v>0</v>
      </c>
      <c r="D228" s="4">
        <v>0</v>
      </c>
      <c r="F228" s="38" t="s">
        <v>161</v>
      </c>
      <c r="G228" s="34"/>
      <c r="H228" s="66">
        <v>0</v>
      </c>
      <c r="I228" s="66">
        <v>0</v>
      </c>
      <c r="J228" s="66">
        <v>0</v>
      </c>
      <c r="K228" s="86">
        <v>0</v>
      </c>
      <c r="L228" s="86">
        <v>0</v>
      </c>
      <c r="M228" s="66">
        <v>0</v>
      </c>
      <c r="N228" s="66">
        <v>0</v>
      </c>
      <c r="O228" s="66">
        <v>0</v>
      </c>
      <c r="P228" s="66">
        <v>0</v>
      </c>
      <c r="Q228" s="66">
        <v>0</v>
      </c>
      <c r="R228" s="66">
        <v>0</v>
      </c>
      <c r="S228" s="66">
        <v>0</v>
      </c>
      <c r="T228" s="66">
        <v>0</v>
      </c>
      <c r="U228" s="66">
        <v>0</v>
      </c>
      <c r="V228" s="66">
        <v>0</v>
      </c>
      <c r="W228" s="66">
        <v>0</v>
      </c>
      <c r="X228" s="66">
        <v>0</v>
      </c>
      <c r="Y228" s="66">
        <v>0</v>
      </c>
      <c r="Z228" s="34"/>
      <c r="AA228" s="66">
        <v>0</v>
      </c>
      <c r="AB228" s="60">
        <v>0</v>
      </c>
      <c r="AC228" s="34"/>
      <c r="AD228" s="66">
        <v>0</v>
      </c>
      <c r="AE228" s="60">
        <v>0</v>
      </c>
    </row>
    <row r="229" spans="1:39" ht="18" customHeight="1" collapsed="1" x14ac:dyDescent="0.2">
      <c r="A229" s="35"/>
      <c r="B229" s="35"/>
      <c r="C229" s="4">
        <v>0</v>
      </c>
      <c r="D229" s="4">
        <v>0</v>
      </c>
      <c r="F229" s="106" t="s">
        <v>378</v>
      </c>
      <c r="H229" s="61">
        <v>0</v>
      </c>
      <c r="I229" s="61">
        <v>0</v>
      </c>
      <c r="J229" s="61">
        <v>0</v>
      </c>
      <c r="K229" s="86">
        <v>0</v>
      </c>
      <c r="L229" s="86">
        <v>0</v>
      </c>
      <c r="M229" s="61">
        <v>0</v>
      </c>
      <c r="N229" s="61">
        <v>0</v>
      </c>
      <c r="O229" s="61">
        <v>0</v>
      </c>
      <c r="P229" s="61">
        <v>0</v>
      </c>
      <c r="Q229" s="61">
        <v>0</v>
      </c>
      <c r="R229" s="61">
        <v>0</v>
      </c>
      <c r="S229" s="61">
        <v>0</v>
      </c>
      <c r="T229" s="61">
        <v>0</v>
      </c>
      <c r="U229" s="61">
        <v>0</v>
      </c>
      <c r="V229" s="61">
        <v>0</v>
      </c>
      <c r="W229" s="61">
        <v>0</v>
      </c>
      <c r="X229" s="61">
        <v>0</v>
      </c>
      <c r="Y229" s="61">
        <v>0</v>
      </c>
      <c r="AA229" s="61">
        <v>0</v>
      </c>
      <c r="AB229" s="60">
        <v>0</v>
      </c>
      <c r="AD229" s="61">
        <v>0</v>
      </c>
      <c r="AE229" s="60">
        <v>0</v>
      </c>
    </row>
    <row r="230" spans="1:39" ht="18" customHeight="1" x14ac:dyDescent="0.2">
      <c r="A230" s="30" t="s">
        <v>408</v>
      </c>
      <c r="B230" s="30" t="s">
        <v>22</v>
      </c>
      <c r="C230" s="4"/>
      <c r="D230" s="4"/>
      <c r="F230" s="106" t="s">
        <v>409</v>
      </c>
      <c r="H230" s="61">
        <v>0</v>
      </c>
      <c r="I230" s="61">
        <v>0</v>
      </c>
      <c r="J230" s="61">
        <v>0</v>
      </c>
      <c r="K230" s="86">
        <v>0</v>
      </c>
      <c r="L230" s="86">
        <v>0</v>
      </c>
      <c r="M230" s="61">
        <v>0</v>
      </c>
      <c r="N230" s="61">
        <v>0</v>
      </c>
      <c r="O230" s="61">
        <v>0</v>
      </c>
      <c r="P230" s="61">
        <v>0</v>
      </c>
      <c r="Q230" s="61">
        <v>0</v>
      </c>
      <c r="R230" s="61">
        <v>0</v>
      </c>
      <c r="S230" s="61">
        <v>0</v>
      </c>
      <c r="T230" s="61">
        <v>0</v>
      </c>
      <c r="U230" s="61">
        <v>0</v>
      </c>
      <c r="V230" s="61">
        <v>0</v>
      </c>
      <c r="W230" s="61">
        <v>0</v>
      </c>
      <c r="X230" s="61">
        <v>0</v>
      </c>
      <c r="Y230" s="61">
        <v>0</v>
      </c>
      <c r="AA230" s="61">
        <v>0</v>
      </c>
      <c r="AB230" s="60">
        <v>0</v>
      </c>
      <c r="AD230" s="61">
        <v>0</v>
      </c>
      <c r="AE230" s="60">
        <v>0</v>
      </c>
      <c r="AM230"/>
    </row>
    <row r="231" spans="1:39" ht="18" hidden="1" customHeight="1" outlineLevel="1" x14ac:dyDescent="0.2">
      <c r="A231" s="30" t="s">
        <v>148</v>
      </c>
      <c r="B231" s="30" t="s">
        <v>22</v>
      </c>
      <c r="C231" s="4">
        <v>0</v>
      </c>
      <c r="D231" s="4">
        <v>0</v>
      </c>
      <c r="F231" s="38" t="s">
        <v>149</v>
      </c>
      <c r="G231" s="34"/>
      <c r="H231" s="66">
        <v>0</v>
      </c>
      <c r="I231" s="66">
        <v>0</v>
      </c>
      <c r="J231" s="66">
        <v>0</v>
      </c>
      <c r="K231" s="86">
        <v>0</v>
      </c>
      <c r="L231" s="86">
        <v>0</v>
      </c>
      <c r="M231" s="66">
        <v>0</v>
      </c>
      <c r="N231" s="66">
        <v>0</v>
      </c>
      <c r="O231" s="66">
        <v>0</v>
      </c>
      <c r="P231" s="66">
        <v>0</v>
      </c>
      <c r="Q231" s="66">
        <v>0</v>
      </c>
      <c r="R231" s="66">
        <v>0</v>
      </c>
      <c r="S231" s="66">
        <v>0</v>
      </c>
      <c r="T231" s="66">
        <v>0</v>
      </c>
      <c r="U231" s="66">
        <v>0</v>
      </c>
      <c r="V231" s="66">
        <v>0</v>
      </c>
      <c r="W231" s="66">
        <v>0</v>
      </c>
      <c r="X231" s="66">
        <v>0</v>
      </c>
      <c r="Y231" s="66">
        <v>0</v>
      </c>
      <c r="Z231" s="34"/>
      <c r="AA231" s="66">
        <v>0</v>
      </c>
      <c r="AB231" s="60">
        <v>0</v>
      </c>
      <c r="AC231" s="34"/>
      <c r="AD231" s="66">
        <v>0</v>
      </c>
      <c r="AE231" s="60">
        <v>0</v>
      </c>
    </row>
    <row r="232" spans="1:39" ht="18" hidden="1" customHeight="1" outlineLevel="1" x14ac:dyDescent="0.2">
      <c r="A232" s="30" t="s">
        <v>158</v>
      </c>
      <c r="B232" s="30" t="s">
        <v>22</v>
      </c>
      <c r="C232" s="4">
        <v>0</v>
      </c>
      <c r="D232" s="4">
        <v>0</v>
      </c>
      <c r="F232" s="38" t="s">
        <v>159</v>
      </c>
      <c r="G232" s="34"/>
      <c r="H232" s="66">
        <v>0</v>
      </c>
      <c r="I232" s="66">
        <v>0</v>
      </c>
      <c r="J232" s="66">
        <v>0</v>
      </c>
      <c r="K232" s="86">
        <v>0</v>
      </c>
      <c r="L232" s="86">
        <v>0</v>
      </c>
      <c r="M232" s="66">
        <v>0</v>
      </c>
      <c r="N232" s="66">
        <v>0</v>
      </c>
      <c r="O232" s="66">
        <v>0</v>
      </c>
      <c r="P232" s="66">
        <v>0</v>
      </c>
      <c r="Q232" s="66">
        <v>0</v>
      </c>
      <c r="R232" s="66">
        <v>0</v>
      </c>
      <c r="S232" s="66">
        <v>0</v>
      </c>
      <c r="T232" s="66">
        <v>0</v>
      </c>
      <c r="U232" s="66">
        <v>0</v>
      </c>
      <c r="V232" s="66">
        <v>0</v>
      </c>
      <c r="W232" s="66">
        <v>0</v>
      </c>
      <c r="X232" s="66">
        <v>0</v>
      </c>
      <c r="Y232" s="66">
        <v>0</v>
      </c>
      <c r="Z232" s="34"/>
      <c r="AA232" s="66">
        <v>0</v>
      </c>
      <c r="AB232" s="60">
        <v>0</v>
      </c>
      <c r="AC232" s="34"/>
      <c r="AD232" s="66">
        <v>0</v>
      </c>
      <c r="AE232" s="60">
        <v>0</v>
      </c>
    </row>
    <row r="233" spans="1:39" ht="18" hidden="1" customHeight="1" outlineLevel="1" x14ac:dyDescent="0.2">
      <c r="A233" s="30" t="s">
        <v>152</v>
      </c>
      <c r="B233" s="30" t="s">
        <v>22</v>
      </c>
      <c r="C233" s="4">
        <v>0</v>
      </c>
      <c r="D233" s="4">
        <v>0</v>
      </c>
      <c r="F233" s="38" t="s">
        <v>153</v>
      </c>
      <c r="G233" s="34"/>
      <c r="H233" s="66">
        <v>0</v>
      </c>
      <c r="I233" s="66">
        <v>0</v>
      </c>
      <c r="J233" s="66">
        <v>0</v>
      </c>
      <c r="K233" s="86">
        <v>0</v>
      </c>
      <c r="L233" s="86">
        <v>0</v>
      </c>
      <c r="M233" s="66">
        <v>0</v>
      </c>
      <c r="N233" s="66">
        <v>0</v>
      </c>
      <c r="O233" s="66">
        <v>0</v>
      </c>
      <c r="P233" s="66">
        <v>0</v>
      </c>
      <c r="Q233" s="66">
        <v>0</v>
      </c>
      <c r="R233" s="66">
        <v>0</v>
      </c>
      <c r="S233" s="66">
        <v>0</v>
      </c>
      <c r="T233" s="66">
        <v>0</v>
      </c>
      <c r="U233" s="66">
        <v>0</v>
      </c>
      <c r="V233" s="66">
        <v>0</v>
      </c>
      <c r="W233" s="66">
        <v>0</v>
      </c>
      <c r="X233" s="66">
        <v>0</v>
      </c>
      <c r="Y233" s="66">
        <v>0</v>
      </c>
      <c r="Z233" s="34"/>
      <c r="AA233" s="66">
        <v>0</v>
      </c>
      <c r="AB233" s="60">
        <v>0</v>
      </c>
      <c r="AC233" s="34"/>
      <c r="AD233" s="66">
        <v>0</v>
      </c>
      <c r="AE233" s="60">
        <v>0</v>
      </c>
    </row>
    <row r="234" spans="1:39" ht="18" hidden="1" customHeight="1" outlineLevel="1" x14ac:dyDescent="0.2">
      <c r="A234" s="30" t="s">
        <v>269</v>
      </c>
      <c r="B234" s="30" t="s">
        <v>22</v>
      </c>
      <c r="C234" s="4">
        <v>0</v>
      </c>
      <c r="D234" s="4">
        <v>0</v>
      </c>
      <c r="F234" s="38" t="s">
        <v>271</v>
      </c>
      <c r="G234" s="34"/>
      <c r="H234" s="66">
        <v>0</v>
      </c>
      <c r="I234" s="66">
        <v>0</v>
      </c>
      <c r="J234" s="66">
        <v>0</v>
      </c>
      <c r="K234" s="86">
        <v>0</v>
      </c>
      <c r="L234" s="86">
        <v>0</v>
      </c>
      <c r="M234" s="66">
        <v>0</v>
      </c>
      <c r="N234" s="66">
        <v>0</v>
      </c>
      <c r="O234" s="66">
        <v>0</v>
      </c>
      <c r="P234" s="66">
        <v>0</v>
      </c>
      <c r="Q234" s="66">
        <v>0</v>
      </c>
      <c r="R234" s="66">
        <v>0</v>
      </c>
      <c r="S234" s="66">
        <v>0</v>
      </c>
      <c r="T234" s="66">
        <v>0</v>
      </c>
      <c r="U234" s="66">
        <v>0</v>
      </c>
      <c r="V234" s="66">
        <v>0</v>
      </c>
      <c r="W234" s="66">
        <v>0</v>
      </c>
      <c r="X234" s="66">
        <v>0</v>
      </c>
      <c r="Y234" s="66">
        <v>0</v>
      </c>
      <c r="Z234" s="34"/>
      <c r="AA234" s="66">
        <v>0</v>
      </c>
      <c r="AB234" s="60">
        <v>0</v>
      </c>
      <c r="AC234" s="34"/>
      <c r="AD234" s="66">
        <v>0</v>
      </c>
      <c r="AE234" s="60">
        <v>0</v>
      </c>
    </row>
    <row r="235" spans="1:39" ht="18" hidden="1" customHeight="1" outlineLevel="1" x14ac:dyDescent="0.2">
      <c r="A235" s="30" t="s">
        <v>270</v>
      </c>
      <c r="B235" s="30" t="s">
        <v>22</v>
      </c>
      <c r="C235" s="4">
        <v>0</v>
      </c>
      <c r="D235" s="4">
        <v>0</v>
      </c>
      <c r="F235" s="38" t="s">
        <v>272</v>
      </c>
      <c r="G235" s="34"/>
      <c r="H235" s="66">
        <v>0</v>
      </c>
      <c r="I235" s="66">
        <v>0</v>
      </c>
      <c r="J235" s="66">
        <v>0</v>
      </c>
      <c r="K235" s="86">
        <v>0</v>
      </c>
      <c r="L235" s="86">
        <v>0</v>
      </c>
      <c r="M235" s="66">
        <v>0</v>
      </c>
      <c r="N235" s="66">
        <v>0</v>
      </c>
      <c r="O235" s="66">
        <v>0</v>
      </c>
      <c r="P235" s="66">
        <v>0</v>
      </c>
      <c r="Q235" s="66">
        <v>0</v>
      </c>
      <c r="R235" s="66">
        <v>0</v>
      </c>
      <c r="S235" s="66">
        <v>0</v>
      </c>
      <c r="T235" s="66">
        <v>0</v>
      </c>
      <c r="U235" s="66">
        <v>0</v>
      </c>
      <c r="V235" s="66">
        <v>0</v>
      </c>
      <c r="W235" s="66">
        <v>0</v>
      </c>
      <c r="X235" s="66">
        <v>0</v>
      </c>
      <c r="Y235" s="66">
        <v>0</v>
      </c>
      <c r="Z235" s="34"/>
      <c r="AA235" s="66">
        <v>0</v>
      </c>
      <c r="AB235" s="60">
        <v>0</v>
      </c>
      <c r="AC235" s="34"/>
      <c r="AD235" s="66">
        <v>0</v>
      </c>
      <c r="AE235" s="60">
        <v>0</v>
      </c>
    </row>
    <row r="236" spans="1:39" ht="18" hidden="1" customHeight="1" outlineLevel="1" x14ac:dyDescent="0.2">
      <c r="A236" s="30" t="s">
        <v>162</v>
      </c>
      <c r="B236" s="30" t="s">
        <v>22</v>
      </c>
      <c r="C236" s="4">
        <v>0</v>
      </c>
      <c r="D236" s="4">
        <v>0</v>
      </c>
      <c r="F236" s="38" t="s">
        <v>163</v>
      </c>
      <c r="G236" s="34"/>
      <c r="H236" s="66">
        <v>0</v>
      </c>
      <c r="I236" s="66">
        <v>0</v>
      </c>
      <c r="J236" s="66">
        <v>0</v>
      </c>
      <c r="K236" s="86">
        <v>0</v>
      </c>
      <c r="L236" s="86">
        <v>0</v>
      </c>
      <c r="M236" s="66">
        <v>0</v>
      </c>
      <c r="N236" s="66">
        <v>0</v>
      </c>
      <c r="O236" s="66">
        <v>0</v>
      </c>
      <c r="P236" s="66">
        <v>0</v>
      </c>
      <c r="Q236" s="66">
        <v>0</v>
      </c>
      <c r="R236" s="66">
        <v>0</v>
      </c>
      <c r="S236" s="66">
        <v>0</v>
      </c>
      <c r="T236" s="66">
        <v>0</v>
      </c>
      <c r="U236" s="66">
        <v>0</v>
      </c>
      <c r="V236" s="66">
        <v>0</v>
      </c>
      <c r="W236" s="66">
        <v>0</v>
      </c>
      <c r="X236" s="66">
        <v>0</v>
      </c>
      <c r="Y236" s="66">
        <v>0</v>
      </c>
      <c r="Z236" s="34"/>
      <c r="AA236" s="66">
        <v>0</v>
      </c>
      <c r="AB236" s="60">
        <v>0</v>
      </c>
      <c r="AC236" s="34"/>
      <c r="AD236" s="66">
        <v>0</v>
      </c>
      <c r="AE236" s="60">
        <v>0</v>
      </c>
    </row>
    <row r="237" spans="1:39" ht="18" hidden="1" customHeight="1" outlineLevel="1" x14ac:dyDescent="0.2">
      <c r="A237" s="30" t="s">
        <v>164</v>
      </c>
      <c r="B237" s="30" t="s">
        <v>22</v>
      </c>
      <c r="C237" s="4">
        <v>0</v>
      </c>
      <c r="D237" s="4">
        <v>0</v>
      </c>
      <c r="F237" s="38" t="s">
        <v>165</v>
      </c>
      <c r="G237" s="34"/>
      <c r="H237" s="66">
        <v>0</v>
      </c>
      <c r="I237" s="66">
        <v>0</v>
      </c>
      <c r="J237" s="66">
        <v>0</v>
      </c>
      <c r="K237" s="86">
        <v>0</v>
      </c>
      <c r="L237" s="8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0</v>
      </c>
      <c r="R237" s="66">
        <v>0</v>
      </c>
      <c r="S237" s="66">
        <v>0</v>
      </c>
      <c r="T237" s="66">
        <v>0</v>
      </c>
      <c r="U237" s="66">
        <v>0</v>
      </c>
      <c r="V237" s="66">
        <v>0</v>
      </c>
      <c r="W237" s="66">
        <v>0</v>
      </c>
      <c r="X237" s="66">
        <v>0</v>
      </c>
      <c r="Y237" s="66">
        <v>0</v>
      </c>
      <c r="Z237" s="34"/>
      <c r="AA237" s="66">
        <v>0</v>
      </c>
      <c r="AB237" s="60">
        <v>0</v>
      </c>
      <c r="AC237" s="34"/>
      <c r="AD237" s="66">
        <v>0</v>
      </c>
      <c r="AE237" s="60">
        <v>0</v>
      </c>
    </row>
    <row r="238" spans="1:39" ht="18" hidden="1" customHeight="1" outlineLevel="1" x14ac:dyDescent="0.2">
      <c r="A238" s="30" t="s">
        <v>166</v>
      </c>
      <c r="B238" s="30" t="s">
        <v>22</v>
      </c>
      <c r="C238" s="4">
        <v>0</v>
      </c>
      <c r="D238" s="4">
        <v>0</v>
      </c>
      <c r="F238" s="38" t="s">
        <v>167</v>
      </c>
      <c r="G238" s="34"/>
      <c r="H238" s="66">
        <v>0</v>
      </c>
      <c r="I238" s="66">
        <v>0</v>
      </c>
      <c r="J238" s="66">
        <v>0</v>
      </c>
      <c r="K238" s="86">
        <v>0</v>
      </c>
      <c r="L238" s="86">
        <v>0</v>
      </c>
      <c r="M238" s="66">
        <v>0</v>
      </c>
      <c r="N238" s="66">
        <v>0</v>
      </c>
      <c r="O238" s="66">
        <v>0</v>
      </c>
      <c r="P238" s="66">
        <v>0</v>
      </c>
      <c r="Q238" s="66">
        <v>0</v>
      </c>
      <c r="R238" s="66">
        <v>0</v>
      </c>
      <c r="S238" s="66">
        <v>0</v>
      </c>
      <c r="T238" s="66">
        <v>0</v>
      </c>
      <c r="U238" s="66">
        <v>0</v>
      </c>
      <c r="V238" s="66">
        <v>0</v>
      </c>
      <c r="W238" s="66">
        <v>0</v>
      </c>
      <c r="X238" s="66">
        <v>0</v>
      </c>
      <c r="Y238" s="66">
        <v>0</v>
      </c>
      <c r="Z238" s="34"/>
      <c r="AA238" s="66">
        <v>0</v>
      </c>
      <c r="AB238" s="60">
        <v>0</v>
      </c>
      <c r="AC238" s="34"/>
      <c r="AD238" s="66">
        <v>0</v>
      </c>
      <c r="AE238" s="60">
        <v>0</v>
      </c>
    </row>
    <row r="239" spans="1:39" ht="18" customHeight="1" collapsed="1" x14ac:dyDescent="0.2">
      <c r="A239" s="35"/>
      <c r="B239" s="35"/>
      <c r="C239" s="4">
        <v>0</v>
      </c>
      <c r="D239" s="4">
        <v>0</v>
      </c>
      <c r="F239" s="106" t="s">
        <v>189</v>
      </c>
      <c r="H239" s="61">
        <v>0</v>
      </c>
      <c r="I239" s="61">
        <v>0</v>
      </c>
      <c r="J239" s="61">
        <v>0</v>
      </c>
      <c r="K239" s="86">
        <v>0</v>
      </c>
      <c r="L239" s="86">
        <v>0</v>
      </c>
      <c r="M239" s="61">
        <v>0</v>
      </c>
      <c r="N239" s="61">
        <v>0</v>
      </c>
      <c r="O239" s="61">
        <v>0</v>
      </c>
      <c r="P239" s="61">
        <v>0</v>
      </c>
      <c r="Q239" s="61">
        <v>0</v>
      </c>
      <c r="R239" s="61">
        <v>0</v>
      </c>
      <c r="S239" s="61">
        <v>0</v>
      </c>
      <c r="T239" s="61">
        <v>0</v>
      </c>
      <c r="U239" s="61">
        <v>0</v>
      </c>
      <c r="V239" s="61">
        <v>0</v>
      </c>
      <c r="W239" s="61">
        <v>0</v>
      </c>
      <c r="X239" s="61">
        <v>0</v>
      </c>
      <c r="Y239" s="61">
        <v>0</v>
      </c>
      <c r="AA239" s="61">
        <v>0</v>
      </c>
      <c r="AB239" s="60">
        <v>0</v>
      </c>
      <c r="AD239" s="61">
        <v>0</v>
      </c>
      <c r="AE239" s="60">
        <v>0</v>
      </c>
    </row>
    <row r="240" spans="1:39" ht="18" customHeight="1" x14ac:dyDescent="0.2">
      <c r="A240" s="35"/>
      <c r="B240" s="35"/>
      <c r="C240" s="4">
        <v>0</v>
      </c>
      <c r="D240" s="4">
        <v>0</v>
      </c>
      <c r="F240" s="95" t="s">
        <v>65</v>
      </c>
      <c r="H240" s="195">
        <v>0</v>
      </c>
      <c r="I240" s="195">
        <v>0</v>
      </c>
      <c r="J240" s="64">
        <v>0</v>
      </c>
      <c r="K240" s="89">
        <v>0</v>
      </c>
      <c r="L240" s="89">
        <v>0</v>
      </c>
      <c r="M240" s="64">
        <v>0</v>
      </c>
      <c r="N240" s="64">
        <v>0</v>
      </c>
      <c r="O240" s="64">
        <v>0</v>
      </c>
      <c r="P240" s="64">
        <v>0</v>
      </c>
      <c r="Q240" s="64">
        <v>0</v>
      </c>
      <c r="R240" s="64">
        <v>0</v>
      </c>
      <c r="S240" s="64">
        <v>0</v>
      </c>
      <c r="T240" s="64">
        <v>0</v>
      </c>
      <c r="U240" s="64">
        <v>0</v>
      </c>
      <c r="V240" s="64">
        <v>0</v>
      </c>
      <c r="W240" s="64">
        <v>0</v>
      </c>
      <c r="X240" s="64">
        <v>0</v>
      </c>
      <c r="Y240" s="64">
        <v>0</v>
      </c>
      <c r="AA240" s="64">
        <v>0</v>
      </c>
      <c r="AB240" s="60">
        <v>0</v>
      </c>
      <c r="AD240" s="64">
        <v>0</v>
      </c>
      <c r="AE240" s="60">
        <v>0</v>
      </c>
    </row>
    <row r="241" spans="1:31" ht="12.95" customHeight="1" x14ac:dyDescent="0.2">
      <c r="A241" s="35"/>
      <c r="B241" s="35"/>
      <c r="C241" s="4"/>
      <c r="D241" s="4"/>
      <c r="F241" s="39" t="s">
        <v>223</v>
      </c>
      <c r="H241" s="56">
        <v>0</v>
      </c>
      <c r="I241" s="56">
        <v>0</v>
      </c>
      <c r="J241" s="56">
        <v>0</v>
      </c>
      <c r="K241" s="109" t="e">
        <v>#DIV/0!</v>
      </c>
      <c r="L241" s="109" t="e">
        <v>#DIV/0!</v>
      </c>
      <c r="M241" s="56" t="e">
        <v>#DIV/0!</v>
      </c>
      <c r="N241" s="56">
        <v>0</v>
      </c>
      <c r="O241" s="56" t="e">
        <v>#DIV/0!</v>
      </c>
      <c r="P241" s="56" t="e">
        <v>#DIV/0!</v>
      </c>
      <c r="Q241" s="56" t="e">
        <v>#DIV/0!</v>
      </c>
      <c r="R241" s="56">
        <v>0</v>
      </c>
      <c r="S241" s="56">
        <v>0</v>
      </c>
      <c r="T241" s="56" t="e">
        <v>#DIV/0!</v>
      </c>
      <c r="U241" s="56" t="e">
        <v>#DIV/0!</v>
      </c>
      <c r="V241" s="56" t="e">
        <v>#DIV/0!</v>
      </c>
      <c r="W241" s="56" t="e">
        <v>#DIV/0!</v>
      </c>
      <c r="X241" s="56">
        <v>0</v>
      </c>
      <c r="Y241" s="56">
        <v>0</v>
      </c>
      <c r="AA241" s="56" t="e">
        <v>#DIV/0!</v>
      </c>
      <c r="AB241" s="57"/>
      <c r="AD241" s="56" t="e">
        <v>#DIV/0!</v>
      </c>
      <c r="AE241" s="57"/>
    </row>
    <row r="242" spans="1:31" ht="6.95" customHeight="1" x14ac:dyDescent="0.2">
      <c r="C242" s="4"/>
      <c r="D242" s="4"/>
      <c r="F242" s="96"/>
      <c r="H242" s="16"/>
      <c r="I242" s="16"/>
      <c r="J242" s="16"/>
      <c r="K242" s="85"/>
      <c r="L242" s="85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AA242" s="16"/>
      <c r="AB242" s="20"/>
      <c r="AD242" s="16"/>
      <c r="AE242" s="20"/>
    </row>
    <row r="243" spans="1:31" ht="18" hidden="1" customHeight="1" outlineLevel="1" collapsed="1" x14ac:dyDescent="0.2">
      <c r="A243" s="35"/>
      <c r="B243" s="35"/>
      <c r="C243" s="4"/>
      <c r="D243" s="4"/>
      <c r="F243" s="97" t="s">
        <v>249</v>
      </c>
      <c r="H243" s="74">
        <v>0</v>
      </c>
      <c r="I243" s="74">
        <v>5.1714285714285716E-3</v>
      </c>
      <c r="J243" s="74">
        <v>5.1714285714285716E-3</v>
      </c>
      <c r="K243" s="112">
        <v>0</v>
      </c>
      <c r="L243" s="112">
        <v>0</v>
      </c>
      <c r="M243" s="74">
        <v>0</v>
      </c>
      <c r="N243" s="74">
        <v>0</v>
      </c>
      <c r="O243" s="74">
        <v>0</v>
      </c>
      <c r="P243" s="74">
        <v>0</v>
      </c>
      <c r="Q243" s="74">
        <v>0</v>
      </c>
      <c r="R243" s="74">
        <v>0</v>
      </c>
      <c r="S243" s="74">
        <v>0</v>
      </c>
      <c r="T243" s="74">
        <v>0</v>
      </c>
      <c r="U243" s="74">
        <v>0</v>
      </c>
      <c r="V243" s="74">
        <v>0</v>
      </c>
      <c r="W243" s="74">
        <v>0</v>
      </c>
      <c r="X243" s="74">
        <v>0</v>
      </c>
      <c r="Y243" s="74">
        <v>0</v>
      </c>
      <c r="AA243" s="74">
        <v>0</v>
      </c>
      <c r="AB243" s="73">
        <v>0</v>
      </c>
      <c r="AD243" s="74">
        <v>0</v>
      </c>
      <c r="AE243" s="73">
        <v>0</v>
      </c>
    </row>
    <row r="244" spans="1:31" ht="18" hidden="1" customHeight="1" outlineLevel="1" x14ac:dyDescent="0.2">
      <c r="A244" s="30" t="s">
        <v>79</v>
      </c>
      <c r="B244" s="30" t="s">
        <v>22</v>
      </c>
      <c r="C244" s="4">
        <v>0</v>
      </c>
      <c r="D244" s="4">
        <v>0</v>
      </c>
      <c r="F244" s="106" t="s">
        <v>83</v>
      </c>
      <c r="H244" s="61">
        <v>0</v>
      </c>
      <c r="I244" s="61">
        <v>-0.18099999999999999</v>
      </c>
      <c r="J244" s="61">
        <v>-0.18099999999999999</v>
      </c>
      <c r="K244" s="86">
        <v>0</v>
      </c>
      <c r="L244" s="86">
        <v>0</v>
      </c>
      <c r="M244" s="61">
        <v>0</v>
      </c>
      <c r="N244" s="61">
        <v>0</v>
      </c>
      <c r="O244" s="61">
        <v>0</v>
      </c>
      <c r="P244" s="61">
        <v>0</v>
      </c>
      <c r="Q244" s="61">
        <v>0</v>
      </c>
      <c r="R244" s="61">
        <v>0</v>
      </c>
      <c r="S244" s="61">
        <v>0</v>
      </c>
      <c r="T244" s="61">
        <v>0</v>
      </c>
      <c r="U244" s="61">
        <v>0</v>
      </c>
      <c r="V244" s="61">
        <v>0</v>
      </c>
      <c r="W244" s="61">
        <v>0</v>
      </c>
      <c r="X244" s="61">
        <v>0</v>
      </c>
      <c r="Y244" s="61">
        <v>0</v>
      </c>
      <c r="AA244" s="61">
        <v>0</v>
      </c>
      <c r="AB244" s="60">
        <v>0</v>
      </c>
      <c r="AD244" s="61">
        <v>0</v>
      </c>
      <c r="AE244" s="60">
        <v>0</v>
      </c>
    </row>
    <row r="245" spans="1:31" ht="18" hidden="1" customHeight="1" outlineLevel="1" x14ac:dyDescent="0.2">
      <c r="A245" s="30" t="s">
        <v>80</v>
      </c>
      <c r="B245" s="30" t="s">
        <v>22</v>
      </c>
      <c r="C245" s="4">
        <v>0</v>
      </c>
      <c r="D245" s="4">
        <v>0</v>
      </c>
      <c r="F245" s="106" t="s">
        <v>84</v>
      </c>
      <c r="H245" s="61">
        <v>0</v>
      </c>
      <c r="I245" s="61">
        <v>0</v>
      </c>
      <c r="J245" s="61">
        <v>0</v>
      </c>
      <c r="K245" s="86">
        <v>0</v>
      </c>
      <c r="L245" s="86">
        <v>0</v>
      </c>
      <c r="M245" s="61">
        <v>0</v>
      </c>
      <c r="N245" s="61">
        <v>0</v>
      </c>
      <c r="O245" s="61">
        <v>0</v>
      </c>
      <c r="P245" s="61">
        <v>0</v>
      </c>
      <c r="Q245" s="61">
        <v>0</v>
      </c>
      <c r="R245" s="61">
        <v>0</v>
      </c>
      <c r="S245" s="61">
        <v>0</v>
      </c>
      <c r="T245" s="61">
        <v>0</v>
      </c>
      <c r="U245" s="61">
        <v>0</v>
      </c>
      <c r="V245" s="61">
        <v>0</v>
      </c>
      <c r="W245" s="61">
        <v>0</v>
      </c>
      <c r="X245" s="61">
        <v>0</v>
      </c>
      <c r="Y245" s="61">
        <v>0</v>
      </c>
      <c r="AA245" s="61">
        <v>0</v>
      </c>
      <c r="AB245" s="60">
        <v>0</v>
      </c>
      <c r="AD245" s="61">
        <v>0</v>
      </c>
      <c r="AE245" s="60">
        <v>0</v>
      </c>
    </row>
    <row r="246" spans="1:31" ht="18" hidden="1" customHeight="1" outlineLevel="1" x14ac:dyDescent="0.2">
      <c r="A246" s="30" t="s">
        <v>81</v>
      </c>
      <c r="B246" s="30" t="s">
        <v>22</v>
      </c>
      <c r="C246" s="4">
        <v>0</v>
      </c>
      <c r="D246" s="4">
        <v>0</v>
      </c>
      <c r="F246" s="106" t="s">
        <v>85</v>
      </c>
      <c r="H246" s="61">
        <v>0</v>
      </c>
      <c r="I246" s="61">
        <v>0</v>
      </c>
      <c r="J246" s="61">
        <v>0</v>
      </c>
      <c r="K246" s="86">
        <v>0</v>
      </c>
      <c r="L246" s="86">
        <v>0</v>
      </c>
      <c r="M246" s="61">
        <v>0</v>
      </c>
      <c r="N246" s="61">
        <v>0</v>
      </c>
      <c r="O246" s="61">
        <v>0</v>
      </c>
      <c r="P246" s="61">
        <v>0</v>
      </c>
      <c r="Q246" s="61">
        <v>0</v>
      </c>
      <c r="R246" s="61">
        <v>0</v>
      </c>
      <c r="S246" s="61">
        <v>0</v>
      </c>
      <c r="T246" s="61">
        <v>0</v>
      </c>
      <c r="U246" s="61">
        <v>0</v>
      </c>
      <c r="V246" s="61">
        <v>0</v>
      </c>
      <c r="W246" s="61">
        <v>0</v>
      </c>
      <c r="X246" s="61">
        <v>0</v>
      </c>
      <c r="Y246" s="61">
        <v>0</v>
      </c>
      <c r="AA246" s="61">
        <v>0</v>
      </c>
      <c r="AB246" s="60">
        <v>0</v>
      </c>
      <c r="AD246" s="61">
        <v>0</v>
      </c>
      <c r="AE246" s="60">
        <v>0</v>
      </c>
    </row>
    <row r="247" spans="1:31" ht="18" hidden="1" customHeight="1" outlineLevel="1" x14ac:dyDescent="0.2">
      <c r="A247" s="30" t="s">
        <v>140</v>
      </c>
      <c r="B247" s="30" t="s">
        <v>22</v>
      </c>
      <c r="C247" s="4">
        <v>0</v>
      </c>
      <c r="D247" s="4">
        <v>0</v>
      </c>
      <c r="F247" s="106" t="s">
        <v>141</v>
      </c>
      <c r="H247" s="61">
        <v>0</v>
      </c>
      <c r="I247" s="61">
        <v>0</v>
      </c>
      <c r="J247" s="61">
        <v>0</v>
      </c>
      <c r="K247" s="86">
        <v>0</v>
      </c>
      <c r="L247" s="86">
        <v>0</v>
      </c>
      <c r="M247" s="61">
        <v>0</v>
      </c>
      <c r="N247" s="61">
        <v>0</v>
      </c>
      <c r="O247" s="61">
        <v>0</v>
      </c>
      <c r="P247" s="61">
        <v>0</v>
      </c>
      <c r="Q247" s="61">
        <v>0</v>
      </c>
      <c r="R247" s="61">
        <v>0</v>
      </c>
      <c r="S247" s="61">
        <v>0</v>
      </c>
      <c r="T247" s="61">
        <v>0</v>
      </c>
      <c r="U247" s="61">
        <v>0</v>
      </c>
      <c r="V247" s="61">
        <v>0</v>
      </c>
      <c r="W247" s="61">
        <v>0</v>
      </c>
      <c r="X247" s="61">
        <v>0</v>
      </c>
      <c r="Y247" s="61">
        <v>0</v>
      </c>
      <c r="AA247" s="61">
        <v>0</v>
      </c>
      <c r="AB247" s="60">
        <v>0</v>
      </c>
      <c r="AD247" s="61">
        <v>0</v>
      </c>
      <c r="AE247" s="60">
        <v>0</v>
      </c>
    </row>
    <row r="248" spans="1:31" ht="18" hidden="1" customHeight="1" outlineLevel="1" x14ac:dyDescent="0.2">
      <c r="A248" s="30" t="s">
        <v>123</v>
      </c>
      <c r="B248" s="30" t="s">
        <v>22</v>
      </c>
      <c r="C248" s="4">
        <v>0</v>
      </c>
      <c r="D248" s="4">
        <v>0</v>
      </c>
      <c r="F248" s="106" t="s">
        <v>142</v>
      </c>
      <c r="H248" s="61">
        <v>0</v>
      </c>
      <c r="I248" s="61">
        <v>0</v>
      </c>
      <c r="J248" s="61">
        <v>0</v>
      </c>
      <c r="K248" s="86">
        <v>0</v>
      </c>
      <c r="L248" s="86">
        <v>0</v>
      </c>
      <c r="M248" s="61">
        <v>0</v>
      </c>
      <c r="N248" s="61">
        <v>0</v>
      </c>
      <c r="O248" s="61">
        <v>0</v>
      </c>
      <c r="P248" s="61">
        <v>0</v>
      </c>
      <c r="Q248" s="61">
        <v>0</v>
      </c>
      <c r="R248" s="61">
        <v>0</v>
      </c>
      <c r="S248" s="61">
        <v>0</v>
      </c>
      <c r="T248" s="61">
        <v>0</v>
      </c>
      <c r="U248" s="61">
        <v>0</v>
      </c>
      <c r="V248" s="61">
        <v>0</v>
      </c>
      <c r="W248" s="61">
        <v>0</v>
      </c>
      <c r="X248" s="61">
        <v>0</v>
      </c>
      <c r="Y248" s="61">
        <v>0</v>
      </c>
      <c r="AA248" s="61">
        <v>0</v>
      </c>
      <c r="AB248" s="60">
        <v>0</v>
      </c>
      <c r="AD248" s="61">
        <v>0</v>
      </c>
      <c r="AE248" s="60">
        <v>0</v>
      </c>
    </row>
    <row r="249" spans="1:31" ht="18" hidden="1" customHeight="1" outlineLevel="1" x14ac:dyDescent="0.2">
      <c r="A249" s="30" t="s">
        <v>124</v>
      </c>
      <c r="B249" s="30" t="s">
        <v>22</v>
      </c>
      <c r="C249" s="4">
        <v>0</v>
      </c>
      <c r="D249" s="4">
        <v>0</v>
      </c>
      <c r="F249" s="106" t="s">
        <v>143</v>
      </c>
      <c r="H249" s="61">
        <v>0</v>
      </c>
      <c r="I249" s="61">
        <v>0</v>
      </c>
      <c r="J249" s="61">
        <v>0</v>
      </c>
      <c r="K249" s="86">
        <v>0</v>
      </c>
      <c r="L249" s="86">
        <v>0</v>
      </c>
      <c r="M249" s="61">
        <v>0</v>
      </c>
      <c r="N249" s="61">
        <v>0</v>
      </c>
      <c r="O249" s="61">
        <v>0</v>
      </c>
      <c r="P249" s="61">
        <v>0</v>
      </c>
      <c r="Q249" s="61">
        <v>0</v>
      </c>
      <c r="R249" s="61">
        <v>0</v>
      </c>
      <c r="S249" s="61">
        <v>0</v>
      </c>
      <c r="T249" s="61">
        <v>0</v>
      </c>
      <c r="U249" s="61">
        <v>0</v>
      </c>
      <c r="V249" s="61">
        <v>0</v>
      </c>
      <c r="W249" s="61">
        <v>0</v>
      </c>
      <c r="X249" s="61">
        <v>0</v>
      </c>
      <c r="Y249" s="61">
        <v>0</v>
      </c>
      <c r="AA249" s="61">
        <v>0</v>
      </c>
      <c r="AB249" s="60">
        <v>0</v>
      </c>
      <c r="AD249" s="61">
        <v>0</v>
      </c>
      <c r="AE249" s="60">
        <v>0</v>
      </c>
    </row>
    <row r="250" spans="1:31" ht="18" hidden="1" customHeight="1" outlineLevel="1" x14ac:dyDescent="0.2">
      <c r="A250" s="30" t="s">
        <v>204</v>
      </c>
      <c r="B250" s="30" t="s">
        <v>22</v>
      </c>
      <c r="C250" s="4">
        <v>0</v>
      </c>
      <c r="D250" s="4">
        <v>0</v>
      </c>
      <c r="F250" s="104" t="s">
        <v>139</v>
      </c>
      <c r="G250" s="36"/>
      <c r="H250" s="65">
        <v>0</v>
      </c>
      <c r="I250" s="65">
        <v>0</v>
      </c>
      <c r="J250" s="65">
        <v>0</v>
      </c>
      <c r="K250" s="90">
        <v>0</v>
      </c>
      <c r="L250" s="90">
        <v>0</v>
      </c>
      <c r="M250" s="65">
        <v>0</v>
      </c>
      <c r="N250" s="65">
        <v>0</v>
      </c>
      <c r="O250" s="65">
        <v>0</v>
      </c>
      <c r="P250" s="65">
        <v>0</v>
      </c>
      <c r="Q250" s="65">
        <v>0</v>
      </c>
      <c r="R250" s="65">
        <v>0</v>
      </c>
      <c r="S250" s="65">
        <v>0</v>
      </c>
      <c r="T250" s="65">
        <v>0</v>
      </c>
      <c r="U250" s="65">
        <v>0</v>
      </c>
      <c r="V250" s="65">
        <v>0</v>
      </c>
      <c r="W250" s="65">
        <v>0</v>
      </c>
      <c r="X250" s="65">
        <v>0</v>
      </c>
      <c r="Y250" s="65">
        <v>0</v>
      </c>
      <c r="Z250" s="36"/>
      <c r="AA250" s="65">
        <v>0</v>
      </c>
      <c r="AB250" s="60">
        <v>0</v>
      </c>
      <c r="AC250" s="36"/>
      <c r="AD250" s="65">
        <v>0</v>
      </c>
      <c r="AE250" s="60">
        <v>0</v>
      </c>
    </row>
    <row r="251" spans="1:31" ht="18" hidden="1" customHeight="1" outlineLevel="1" x14ac:dyDescent="0.2">
      <c r="A251" s="30" t="s">
        <v>82</v>
      </c>
      <c r="B251" s="30" t="s">
        <v>22</v>
      </c>
      <c r="C251" s="4">
        <v>0</v>
      </c>
      <c r="D251" s="4">
        <v>0</v>
      </c>
      <c r="F251" s="106" t="s">
        <v>86</v>
      </c>
      <c r="H251" s="61">
        <v>0</v>
      </c>
      <c r="I251" s="61">
        <v>0</v>
      </c>
      <c r="J251" s="61">
        <v>0</v>
      </c>
      <c r="K251" s="86">
        <v>0</v>
      </c>
      <c r="L251" s="86">
        <v>0</v>
      </c>
      <c r="M251" s="61">
        <v>0</v>
      </c>
      <c r="N251" s="61">
        <v>0</v>
      </c>
      <c r="O251" s="61">
        <v>0</v>
      </c>
      <c r="P251" s="61">
        <v>0</v>
      </c>
      <c r="Q251" s="61">
        <v>0</v>
      </c>
      <c r="R251" s="61">
        <v>0</v>
      </c>
      <c r="S251" s="61">
        <v>0</v>
      </c>
      <c r="T251" s="61">
        <v>0</v>
      </c>
      <c r="U251" s="61">
        <v>0</v>
      </c>
      <c r="V251" s="61">
        <v>0</v>
      </c>
      <c r="W251" s="61">
        <v>0</v>
      </c>
      <c r="X251" s="61">
        <v>0</v>
      </c>
      <c r="Y251" s="61">
        <v>0</v>
      </c>
      <c r="AA251" s="61">
        <v>0</v>
      </c>
      <c r="AB251" s="60">
        <v>0</v>
      </c>
      <c r="AD251" s="61">
        <v>0</v>
      </c>
      <c r="AE251" s="60">
        <v>0</v>
      </c>
    </row>
    <row r="252" spans="1:31" ht="18" hidden="1" customHeight="1" outlineLevel="1" x14ac:dyDescent="0.2">
      <c r="A252" s="30" t="s">
        <v>144</v>
      </c>
      <c r="B252" s="30" t="s">
        <v>22</v>
      </c>
      <c r="C252" s="4">
        <v>0</v>
      </c>
      <c r="D252" s="4">
        <v>0</v>
      </c>
      <c r="F252" s="106" t="s">
        <v>145</v>
      </c>
      <c r="H252" s="61">
        <v>0</v>
      </c>
      <c r="I252" s="61">
        <v>0</v>
      </c>
      <c r="J252" s="61">
        <v>0</v>
      </c>
      <c r="K252" s="86">
        <v>0</v>
      </c>
      <c r="L252" s="86">
        <v>0</v>
      </c>
      <c r="M252" s="61">
        <v>0</v>
      </c>
      <c r="N252" s="61">
        <v>0</v>
      </c>
      <c r="O252" s="61">
        <v>0</v>
      </c>
      <c r="P252" s="61">
        <v>0</v>
      </c>
      <c r="Q252" s="61">
        <v>0</v>
      </c>
      <c r="R252" s="61">
        <v>0</v>
      </c>
      <c r="S252" s="61">
        <v>0</v>
      </c>
      <c r="T252" s="61">
        <v>0</v>
      </c>
      <c r="U252" s="61">
        <v>0</v>
      </c>
      <c r="V252" s="61">
        <v>0</v>
      </c>
      <c r="W252" s="61">
        <v>0</v>
      </c>
      <c r="X252" s="61">
        <v>0</v>
      </c>
      <c r="Y252" s="61">
        <v>0</v>
      </c>
      <c r="AA252" s="61">
        <v>0</v>
      </c>
      <c r="AB252" s="60">
        <v>0</v>
      </c>
      <c r="AD252" s="61">
        <v>0</v>
      </c>
      <c r="AE252" s="60">
        <v>0</v>
      </c>
    </row>
    <row r="253" spans="1:31" ht="18" customHeight="1" collapsed="1" x14ac:dyDescent="0.2">
      <c r="A253" s="35"/>
      <c r="B253" s="35"/>
      <c r="C253" s="4">
        <v>0</v>
      </c>
      <c r="D253" s="4">
        <v>0</v>
      </c>
      <c r="F253" s="95" t="s">
        <v>276</v>
      </c>
      <c r="H253" s="64">
        <v>0</v>
      </c>
      <c r="I253" s="64">
        <v>-0.18099999999999999</v>
      </c>
      <c r="J253" s="64">
        <v>-0.18099999999999999</v>
      </c>
      <c r="K253" s="89">
        <v>0</v>
      </c>
      <c r="L253" s="89">
        <v>0</v>
      </c>
      <c r="M253" s="64">
        <v>0</v>
      </c>
      <c r="N253" s="64">
        <v>0</v>
      </c>
      <c r="O253" s="64">
        <v>0</v>
      </c>
      <c r="P253" s="64">
        <v>0</v>
      </c>
      <c r="Q253" s="64">
        <v>0</v>
      </c>
      <c r="R253" s="64">
        <v>0</v>
      </c>
      <c r="S253" s="64">
        <v>0</v>
      </c>
      <c r="T253" s="64">
        <v>0</v>
      </c>
      <c r="U253" s="64">
        <v>0</v>
      </c>
      <c r="V253" s="64">
        <v>0</v>
      </c>
      <c r="W253" s="64">
        <v>0</v>
      </c>
      <c r="X253" s="64">
        <v>0</v>
      </c>
      <c r="Y253" s="64">
        <v>0</v>
      </c>
      <c r="AA253" s="64">
        <v>0</v>
      </c>
      <c r="AB253" s="60">
        <v>0</v>
      </c>
      <c r="AD253" s="64">
        <v>0</v>
      </c>
      <c r="AE253" s="60">
        <v>0</v>
      </c>
    </row>
    <row r="254" spans="1:31" ht="12.95" customHeight="1" x14ac:dyDescent="0.2">
      <c r="A254" s="35"/>
      <c r="B254" s="35"/>
      <c r="C254" s="4"/>
      <c r="D254" s="4"/>
      <c r="F254" s="39" t="s">
        <v>223</v>
      </c>
      <c r="H254" s="56">
        <v>0</v>
      </c>
      <c r="I254" s="56">
        <v>1.6037000283527076E-3</v>
      </c>
      <c r="J254" s="56">
        <v>1.6037000283527076E-3</v>
      </c>
      <c r="K254" s="109" t="e">
        <v>#DIV/0!</v>
      </c>
      <c r="L254" s="109" t="e">
        <v>#DIV/0!</v>
      </c>
      <c r="M254" s="56" t="e">
        <v>#DIV/0!</v>
      </c>
      <c r="N254" s="56">
        <v>0</v>
      </c>
      <c r="O254" s="56" t="e">
        <v>#DIV/0!</v>
      </c>
      <c r="P254" s="56" t="e">
        <v>#DIV/0!</v>
      </c>
      <c r="Q254" s="56" t="e">
        <v>#DIV/0!</v>
      </c>
      <c r="R254" s="56">
        <v>0</v>
      </c>
      <c r="S254" s="56">
        <v>0</v>
      </c>
      <c r="T254" s="56" t="e">
        <v>#DIV/0!</v>
      </c>
      <c r="U254" s="56" t="e">
        <v>#DIV/0!</v>
      </c>
      <c r="V254" s="56" t="e">
        <v>#DIV/0!</v>
      </c>
      <c r="W254" s="56" t="e">
        <v>#DIV/0!</v>
      </c>
      <c r="X254" s="56">
        <v>0</v>
      </c>
      <c r="Y254" s="56">
        <v>0</v>
      </c>
      <c r="AA254" s="56" t="e">
        <v>#DIV/0!</v>
      </c>
      <c r="AB254" s="57"/>
      <c r="AD254" s="56" t="e">
        <v>#DIV/0!</v>
      </c>
      <c r="AE254" s="57"/>
    </row>
    <row r="255" spans="1:31" ht="6.95" customHeight="1" x14ac:dyDescent="0.2">
      <c r="C255" s="4"/>
      <c r="D255" s="4"/>
      <c r="F255" s="96"/>
      <c r="H255" s="53"/>
      <c r="I255" s="53"/>
      <c r="J255" s="53"/>
      <c r="K255" s="115"/>
      <c r="L255" s="115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AA255" s="53"/>
      <c r="AD255" s="53"/>
    </row>
    <row r="256" spans="1:31" ht="18" customHeight="1" x14ac:dyDescent="0.2">
      <c r="A256" s="30" t="s">
        <v>73</v>
      </c>
      <c r="B256" s="30" t="s">
        <v>22</v>
      </c>
      <c r="C256" s="4">
        <v>0</v>
      </c>
      <c r="D256" s="4">
        <v>0</v>
      </c>
      <c r="F256" s="106" t="s">
        <v>72</v>
      </c>
      <c r="H256" s="61">
        <v>0</v>
      </c>
      <c r="I256" s="61">
        <v>0</v>
      </c>
      <c r="J256" s="61">
        <v>0</v>
      </c>
      <c r="K256" s="86">
        <v>0</v>
      </c>
      <c r="L256" s="86">
        <v>0</v>
      </c>
      <c r="M256" s="61">
        <v>0</v>
      </c>
      <c r="N256" s="61">
        <v>0</v>
      </c>
      <c r="O256" s="61">
        <v>0</v>
      </c>
      <c r="P256" s="61">
        <v>0</v>
      </c>
      <c r="Q256" s="61">
        <v>0</v>
      </c>
      <c r="R256" s="61">
        <v>0</v>
      </c>
      <c r="S256" s="61">
        <v>0</v>
      </c>
      <c r="T256" s="61">
        <v>0</v>
      </c>
      <c r="U256" s="61">
        <v>0</v>
      </c>
      <c r="V256" s="61">
        <v>0</v>
      </c>
      <c r="W256" s="61">
        <v>0</v>
      </c>
      <c r="X256" s="61">
        <v>0</v>
      </c>
      <c r="Y256" s="61">
        <v>0</v>
      </c>
      <c r="AA256" s="61">
        <v>0</v>
      </c>
      <c r="AB256" s="60">
        <v>0</v>
      </c>
      <c r="AD256" s="61">
        <v>0</v>
      </c>
      <c r="AE256" s="60">
        <v>0</v>
      </c>
    </row>
    <row r="257" spans="1:31" ht="18" customHeight="1" x14ac:dyDescent="0.2">
      <c r="A257" s="30" t="s">
        <v>129</v>
      </c>
      <c r="B257" s="30" t="s">
        <v>22</v>
      </c>
      <c r="C257" s="4">
        <v>0</v>
      </c>
      <c r="D257" s="4">
        <v>0</v>
      </c>
      <c r="F257" s="106" t="s">
        <v>190</v>
      </c>
      <c r="H257" s="61">
        <v>-0.21299999999999999</v>
      </c>
      <c r="I257" s="61">
        <v>-4.0000000000000001E-3</v>
      </c>
      <c r="J257" s="61">
        <v>-4.0000000000000001E-3</v>
      </c>
      <c r="K257" s="86">
        <v>0</v>
      </c>
      <c r="L257" s="86">
        <v>0</v>
      </c>
      <c r="M257" s="61">
        <v>0</v>
      </c>
      <c r="N257" s="61">
        <v>0</v>
      </c>
      <c r="O257" s="61">
        <v>0</v>
      </c>
      <c r="P257" s="61">
        <v>0</v>
      </c>
      <c r="Q257" s="61">
        <v>0</v>
      </c>
      <c r="R257" s="61">
        <v>0</v>
      </c>
      <c r="S257" s="61">
        <v>0</v>
      </c>
      <c r="T257" s="61">
        <v>0</v>
      </c>
      <c r="U257" s="61">
        <v>0</v>
      </c>
      <c r="V257" s="61">
        <v>0</v>
      </c>
      <c r="W257" s="61">
        <v>0</v>
      </c>
      <c r="X257" s="61">
        <v>0</v>
      </c>
      <c r="Y257" s="61">
        <v>0</v>
      </c>
      <c r="AA257" s="61">
        <v>0</v>
      </c>
      <c r="AB257" s="60">
        <v>0</v>
      </c>
      <c r="AD257" s="61">
        <v>0</v>
      </c>
      <c r="AE257" s="60">
        <v>0</v>
      </c>
    </row>
    <row r="258" spans="1:31" ht="18" customHeight="1" x14ac:dyDescent="0.2">
      <c r="A258" s="30" t="s">
        <v>78</v>
      </c>
      <c r="B258" s="30" t="s">
        <v>22</v>
      </c>
      <c r="C258" s="4">
        <v>0</v>
      </c>
      <c r="D258" s="4">
        <v>0</v>
      </c>
      <c r="F258" s="106" t="s">
        <v>77</v>
      </c>
      <c r="H258" s="61">
        <v>0</v>
      </c>
      <c r="I258" s="61">
        <v>0</v>
      </c>
      <c r="J258" s="61">
        <v>0</v>
      </c>
      <c r="K258" s="86">
        <v>0</v>
      </c>
      <c r="L258" s="86">
        <v>0</v>
      </c>
      <c r="M258" s="61">
        <v>0</v>
      </c>
      <c r="N258" s="61">
        <v>0</v>
      </c>
      <c r="O258" s="61">
        <v>0</v>
      </c>
      <c r="P258" s="61">
        <v>0</v>
      </c>
      <c r="Q258" s="61">
        <v>0</v>
      </c>
      <c r="R258" s="61">
        <v>0</v>
      </c>
      <c r="S258" s="61">
        <v>0</v>
      </c>
      <c r="T258" s="61">
        <v>0</v>
      </c>
      <c r="U258" s="61">
        <v>0</v>
      </c>
      <c r="V258" s="61">
        <v>0</v>
      </c>
      <c r="W258" s="61">
        <v>0</v>
      </c>
      <c r="X258" s="61">
        <v>0</v>
      </c>
      <c r="Y258" s="61">
        <v>0</v>
      </c>
      <c r="AA258" s="61">
        <v>0</v>
      </c>
      <c r="AB258" s="60">
        <v>0</v>
      </c>
      <c r="AD258" s="61">
        <v>0</v>
      </c>
      <c r="AE258" s="60">
        <v>0</v>
      </c>
    </row>
    <row r="259" spans="1:31" ht="18" customHeight="1" x14ac:dyDescent="0.2">
      <c r="A259" s="30" t="s">
        <v>75</v>
      </c>
      <c r="B259" s="30" t="s">
        <v>22</v>
      </c>
      <c r="C259" s="4">
        <v>0</v>
      </c>
      <c r="D259" s="4">
        <v>0</v>
      </c>
      <c r="F259" s="106" t="s">
        <v>76</v>
      </c>
      <c r="H259" s="61">
        <v>-0.28199999999999997</v>
      </c>
      <c r="I259" s="61">
        <v>0</v>
      </c>
      <c r="J259" s="61">
        <v>0</v>
      </c>
      <c r="K259" s="86">
        <v>0</v>
      </c>
      <c r="L259" s="86">
        <v>0</v>
      </c>
      <c r="M259" s="61">
        <v>0</v>
      </c>
      <c r="N259" s="61">
        <v>0</v>
      </c>
      <c r="O259" s="61">
        <v>0</v>
      </c>
      <c r="P259" s="61">
        <v>0</v>
      </c>
      <c r="Q259" s="61">
        <v>0</v>
      </c>
      <c r="R259" s="61">
        <v>0</v>
      </c>
      <c r="S259" s="61">
        <v>0</v>
      </c>
      <c r="T259" s="61">
        <v>0</v>
      </c>
      <c r="U259" s="61">
        <v>0</v>
      </c>
      <c r="V259" s="61">
        <v>0</v>
      </c>
      <c r="W259" s="61">
        <v>0</v>
      </c>
      <c r="X259" s="61">
        <v>0</v>
      </c>
      <c r="Y259" s="61">
        <v>0</v>
      </c>
      <c r="AA259" s="61">
        <v>0</v>
      </c>
      <c r="AB259" s="60">
        <v>0</v>
      </c>
      <c r="AD259" s="61">
        <v>0</v>
      </c>
      <c r="AE259" s="60">
        <v>0</v>
      </c>
    </row>
    <row r="260" spans="1:31" ht="18" customHeight="1" x14ac:dyDescent="0.2">
      <c r="A260" s="30" t="s">
        <v>181</v>
      </c>
      <c r="B260" s="30" t="s">
        <v>22</v>
      </c>
      <c r="C260" s="4">
        <v>0</v>
      </c>
      <c r="D260" s="4">
        <v>0</v>
      </c>
      <c r="F260" s="106" t="s">
        <v>182</v>
      </c>
      <c r="H260" s="61">
        <v>0</v>
      </c>
      <c r="I260" s="61">
        <v>0</v>
      </c>
      <c r="J260" s="61">
        <v>0</v>
      </c>
      <c r="K260" s="86">
        <v>0</v>
      </c>
      <c r="L260" s="86">
        <v>0</v>
      </c>
      <c r="M260" s="61">
        <v>0</v>
      </c>
      <c r="N260" s="61">
        <v>0</v>
      </c>
      <c r="O260" s="61">
        <v>0</v>
      </c>
      <c r="P260" s="61">
        <v>0</v>
      </c>
      <c r="Q260" s="61">
        <v>0</v>
      </c>
      <c r="R260" s="61">
        <v>0</v>
      </c>
      <c r="S260" s="61">
        <v>0</v>
      </c>
      <c r="T260" s="61">
        <v>0</v>
      </c>
      <c r="U260" s="61">
        <v>0</v>
      </c>
      <c r="V260" s="61">
        <v>0</v>
      </c>
      <c r="W260" s="61">
        <v>0</v>
      </c>
      <c r="X260" s="61">
        <v>0</v>
      </c>
      <c r="Y260" s="61">
        <v>0</v>
      </c>
      <c r="AA260" s="61">
        <v>0</v>
      </c>
      <c r="AB260" s="60">
        <v>0</v>
      </c>
      <c r="AD260" s="61">
        <v>0</v>
      </c>
      <c r="AE260" s="60">
        <v>0</v>
      </c>
    </row>
    <row r="261" spans="1:31" ht="18" customHeight="1" x14ac:dyDescent="0.2">
      <c r="A261" s="30" t="s">
        <v>90</v>
      </c>
      <c r="B261" s="30" t="s">
        <v>22</v>
      </c>
      <c r="C261" s="4">
        <v>0</v>
      </c>
      <c r="D261" s="4">
        <v>0</v>
      </c>
      <c r="F261" s="106" t="s">
        <v>95</v>
      </c>
      <c r="H261" s="61">
        <v>-1.337</v>
      </c>
      <c r="I261" s="61">
        <v>-0.19900000000000001</v>
      </c>
      <c r="J261" s="61">
        <v>-0.19900000000000001</v>
      </c>
      <c r="K261" s="86">
        <v>0</v>
      </c>
      <c r="L261" s="86">
        <v>0</v>
      </c>
      <c r="M261" s="61">
        <v>0</v>
      </c>
      <c r="N261" s="61">
        <v>0</v>
      </c>
      <c r="O261" s="61">
        <v>0</v>
      </c>
      <c r="P261" s="61">
        <v>0</v>
      </c>
      <c r="Q261" s="61">
        <v>0</v>
      </c>
      <c r="R261" s="61">
        <v>0</v>
      </c>
      <c r="S261" s="61">
        <v>0</v>
      </c>
      <c r="T261" s="61">
        <v>0</v>
      </c>
      <c r="U261" s="61">
        <v>0</v>
      </c>
      <c r="V261" s="61">
        <v>0</v>
      </c>
      <c r="W261" s="61">
        <v>0</v>
      </c>
      <c r="X261" s="61">
        <v>0</v>
      </c>
      <c r="Y261" s="61">
        <v>0</v>
      </c>
      <c r="AA261" s="61">
        <v>0</v>
      </c>
      <c r="AB261" s="60">
        <v>0</v>
      </c>
      <c r="AD261" s="61">
        <v>0</v>
      </c>
      <c r="AE261" s="60">
        <v>0</v>
      </c>
    </row>
    <row r="262" spans="1:31" ht="18" customHeight="1" x14ac:dyDescent="0.2">
      <c r="A262" s="30" t="s">
        <v>91</v>
      </c>
      <c r="B262" s="30" t="s">
        <v>22</v>
      </c>
      <c r="C262" s="4">
        <v>0</v>
      </c>
      <c r="D262" s="4">
        <v>0</v>
      </c>
      <c r="F262" s="106" t="s">
        <v>96</v>
      </c>
      <c r="H262" s="61">
        <v>-0.32200000000000001</v>
      </c>
      <c r="I262" s="61">
        <v>-0.15</v>
      </c>
      <c r="J262" s="61">
        <v>-0.15</v>
      </c>
      <c r="K262" s="86">
        <v>0</v>
      </c>
      <c r="L262" s="86">
        <v>0</v>
      </c>
      <c r="M262" s="61">
        <v>0</v>
      </c>
      <c r="N262" s="61">
        <v>0</v>
      </c>
      <c r="O262" s="61">
        <v>0</v>
      </c>
      <c r="P262" s="61">
        <v>0</v>
      </c>
      <c r="Q262" s="61">
        <v>0</v>
      </c>
      <c r="R262" s="61">
        <v>0</v>
      </c>
      <c r="S262" s="61">
        <v>0</v>
      </c>
      <c r="T262" s="61">
        <v>0</v>
      </c>
      <c r="U262" s="61">
        <v>0</v>
      </c>
      <c r="V262" s="61">
        <v>0</v>
      </c>
      <c r="W262" s="61">
        <v>0</v>
      </c>
      <c r="X262" s="61">
        <v>0</v>
      </c>
      <c r="Y262" s="61">
        <v>0</v>
      </c>
      <c r="AA262" s="61">
        <v>0</v>
      </c>
      <c r="AB262" s="60">
        <v>0</v>
      </c>
      <c r="AD262" s="61">
        <v>0</v>
      </c>
      <c r="AE262" s="60">
        <v>0</v>
      </c>
    </row>
    <row r="263" spans="1:31" ht="18" customHeight="1" x14ac:dyDescent="0.2">
      <c r="A263" s="30" t="s">
        <v>74</v>
      </c>
      <c r="B263" s="30" t="s">
        <v>22</v>
      </c>
      <c r="C263" s="4">
        <v>-1.0169491525423728</v>
      </c>
      <c r="D263" s="4">
        <v>-1.0169491525423728</v>
      </c>
      <c r="F263" s="106" t="s">
        <v>97</v>
      </c>
      <c r="H263" s="61">
        <v>-0.75700000000000001</v>
      </c>
      <c r="I263" s="61">
        <v>-0.437</v>
      </c>
      <c r="J263" s="61">
        <v>-0.437</v>
      </c>
      <c r="K263" s="86">
        <v>0</v>
      </c>
      <c r="L263" s="86">
        <v>0</v>
      </c>
      <c r="M263" s="61">
        <v>-3.5999999999999997E-2</v>
      </c>
      <c r="N263" s="61">
        <v>-3.5999999999999997E-2</v>
      </c>
      <c r="O263" s="61">
        <v>-3.6000000000000004E-2</v>
      </c>
      <c r="P263" s="61">
        <v>-3.4999999999999989E-2</v>
      </c>
      <c r="Q263" s="61">
        <v>-8.0000000000000071E-3</v>
      </c>
      <c r="R263" s="61">
        <v>-8.0000000000000071E-3</v>
      </c>
      <c r="S263" s="61">
        <v>-1.0000000000000009E-2</v>
      </c>
      <c r="T263" s="61">
        <v>-7.9999999999999793E-3</v>
      </c>
      <c r="U263" s="61">
        <v>-8.0000000000000071E-3</v>
      </c>
      <c r="V263" s="61">
        <v>-8.0000000000000071E-3</v>
      </c>
      <c r="W263" s="61">
        <v>-8.0000000000000071E-3</v>
      </c>
      <c r="X263" s="61">
        <v>2.4000000000000021E-2</v>
      </c>
      <c r="Y263" s="61">
        <v>-0.17699999999999999</v>
      </c>
      <c r="AA263" s="61">
        <v>0</v>
      </c>
      <c r="AB263" s="60">
        <v>-0.18</v>
      </c>
      <c r="AD263" s="61">
        <v>0</v>
      </c>
      <c r="AE263" s="60">
        <v>-0.18</v>
      </c>
    </row>
    <row r="264" spans="1:31" s="253" customFormat="1" ht="18" customHeight="1" x14ac:dyDescent="0.2">
      <c r="A264" s="269" t="s">
        <v>447</v>
      </c>
      <c r="B264" s="254" t="s">
        <v>22</v>
      </c>
      <c r="C264" s="252">
        <v>0</v>
      </c>
      <c r="D264" s="252">
        <v>0</v>
      </c>
      <c r="F264" s="260" t="s">
        <v>446</v>
      </c>
      <c r="H264" s="257">
        <v>0</v>
      </c>
      <c r="I264" s="257">
        <v>0</v>
      </c>
      <c r="J264" s="257">
        <v>0</v>
      </c>
      <c r="K264" s="258">
        <v>0</v>
      </c>
      <c r="L264" s="258">
        <v>0</v>
      </c>
      <c r="M264" s="257">
        <v>0</v>
      </c>
      <c r="N264" s="257">
        <v>0</v>
      </c>
      <c r="O264" s="257">
        <v>0</v>
      </c>
      <c r="P264" s="257">
        <v>0</v>
      </c>
      <c r="Q264" s="257">
        <v>0</v>
      </c>
      <c r="R264" s="257">
        <v>0</v>
      </c>
      <c r="S264" s="257">
        <v>0</v>
      </c>
      <c r="T264" s="257">
        <v>0</v>
      </c>
      <c r="U264" s="257">
        <v>0</v>
      </c>
      <c r="V264" s="257">
        <v>0</v>
      </c>
      <c r="W264" s="257">
        <v>0</v>
      </c>
      <c r="X264" s="257">
        <v>0</v>
      </c>
      <c r="Y264" s="257">
        <v>0</v>
      </c>
      <c r="AA264" s="257">
        <v>0</v>
      </c>
      <c r="AB264" s="256">
        <v>0</v>
      </c>
      <c r="AD264" s="257">
        <v>0</v>
      </c>
      <c r="AE264" s="256">
        <v>0</v>
      </c>
    </row>
    <row r="265" spans="1:31" ht="18" customHeight="1" x14ac:dyDescent="0.2">
      <c r="A265" s="30" t="s">
        <v>197</v>
      </c>
      <c r="B265" s="30" t="s">
        <v>22</v>
      </c>
      <c r="C265" s="4">
        <v>0</v>
      </c>
      <c r="D265" s="4">
        <v>0</v>
      </c>
      <c r="F265" s="106" t="s">
        <v>198</v>
      </c>
      <c r="H265" s="61">
        <v>0</v>
      </c>
      <c r="I265" s="61">
        <v>0</v>
      </c>
      <c r="J265" s="61">
        <v>0</v>
      </c>
      <c r="K265" s="86">
        <v>0</v>
      </c>
      <c r="L265" s="86">
        <v>0</v>
      </c>
      <c r="M265" s="61">
        <v>0</v>
      </c>
      <c r="N265" s="61">
        <v>0</v>
      </c>
      <c r="O265" s="61">
        <v>0</v>
      </c>
      <c r="P265" s="61">
        <v>0</v>
      </c>
      <c r="Q265" s="61">
        <v>0</v>
      </c>
      <c r="R265" s="61">
        <v>0</v>
      </c>
      <c r="S265" s="61">
        <v>0</v>
      </c>
      <c r="T265" s="61">
        <v>0</v>
      </c>
      <c r="U265" s="61">
        <v>0</v>
      </c>
      <c r="V265" s="61">
        <v>0</v>
      </c>
      <c r="W265" s="61">
        <v>0</v>
      </c>
      <c r="X265" s="61">
        <v>0</v>
      </c>
      <c r="Y265" s="61">
        <v>0</v>
      </c>
      <c r="AA265" s="61">
        <v>0</v>
      </c>
      <c r="AB265" s="60">
        <v>0</v>
      </c>
      <c r="AD265" s="61">
        <v>0</v>
      </c>
      <c r="AE265" s="60">
        <v>0</v>
      </c>
    </row>
    <row r="266" spans="1:31" ht="18" customHeight="1" x14ac:dyDescent="0.2">
      <c r="A266" s="30" t="s">
        <v>92</v>
      </c>
      <c r="B266" s="30" t="s">
        <v>22</v>
      </c>
      <c r="C266" s="4">
        <v>0.27777777777777779</v>
      </c>
      <c r="D266" s="4">
        <v>-1.0185185185185186</v>
      </c>
      <c r="F266" s="106" t="s">
        <v>98</v>
      </c>
      <c r="H266" s="61">
        <v>-0.81299999999999994</v>
      </c>
      <c r="I266" s="61">
        <v>-0.25800000000000001</v>
      </c>
      <c r="J266" s="61">
        <v>-0.25800000000000001</v>
      </c>
      <c r="K266" s="86">
        <v>-0.14399999999999999</v>
      </c>
      <c r="L266" s="86">
        <v>0</v>
      </c>
      <c r="M266" s="61">
        <v>-1.2E-2</v>
      </c>
      <c r="N266" s="61">
        <v>-1.0999999999999999E-2</v>
      </c>
      <c r="O266" s="61">
        <v>-1.2999999999999998E-2</v>
      </c>
      <c r="P266" s="61">
        <v>-1.2000000000000004E-2</v>
      </c>
      <c r="Q266" s="61">
        <v>-1.1999999999999997E-2</v>
      </c>
      <c r="R266" s="61">
        <v>-1.1999999999999997E-2</v>
      </c>
      <c r="S266" s="61">
        <v>-1.2000000000000011E-2</v>
      </c>
      <c r="T266" s="61">
        <v>-1.1999999999999997E-2</v>
      </c>
      <c r="U266" s="61">
        <v>-1.1999999999999997E-2</v>
      </c>
      <c r="V266" s="61">
        <v>0</v>
      </c>
      <c r="W266" s="61">
        <v>0</v>
      </c>
      <c r="X266" s="61">
        <v>0</v>
      </c>
      <c r="Y266" s="61">
        <v>-0.108</v>
      </c>
      <c r="AA266" s="61">
        <v>-0.14399999999999999</v>
      </c>
      <c r="AB266" s="60">
        <v>0.04</v>
      </c>
      <c r="AD266" s="61">
        <v>0</v>
      </c>
      <c r="AE266" s="60">
        <v>-0.11</v>
      </c>
    </row>
    <row r="267" spans="1:31" ht="18" hidden="1" customHeight="1" outlineLevel="1" x14ac:dyDescent="0.2">
      <c r="A267" s="30" t="s">
        <v>172</v>
      </c>
      <c r="B267" s="30" t="s">
        <v>22</v>
      </c>
      <c r="C267" s="4">
        <v>0</v>
      </c>
      <c r="D267" s="4">
        <v>0</v>
      </c>
      <c r="F267" s="38" t="s">
        <v>173</v>
      </c>
      <c r="G267" s="34"/>
      <c r="H267" s="66">
        <v>0</v>
      </c>
      <c r="I267" s="66">
        <v>0</v>
      </c>
      <c r="J267" s="66">
        <v>0</v>
      </c>
      <c r="K267" s="86">
        <v>0</v>
      </c>
      <c r="L267" s="86">
        <v>0</v>
      </c>
      <c r="M267" s="66">
        <v>0</v>
      </c>
      <c r="N267" s="66">
        <v>0</v>
      </c>
      <c r="O267" s="66">
        <v>0</v>
      </c>
      <c r="P267" s="66">
        <v>0</v>
      </c>
      <c r="Q267" s="66">
        <v>0</v>
      </c>
      <c r="R267" s="66">
        <v>0</v>
      </c>
      <c r="S267" s="66">
        <v>0</v>
      </c>
      <c r="T267" s="66">
        <v>0</v>
      </c>
      <c r="U267" s="66">
        <v>0</v>
      </c>
      <c r="V267" s="66">
        <v>0</v>
      </c>
      <c r="W267" s="66">
        <v>0</v>
      </c>
      <c r="X267" s="66">
        <v>0</v>
      </c>
      <c r="Y267" s="66">
        <v>0</v>
      </c>
      <c r="Z267" s="34"/>
      <c r="AA267" s="66">
        <v>0</v>
      </c>
      <c r="AB267" s="60">
        <v>0</v>
      </c>
      <c r="AC267" s="34"/>
      <c r="AD267" s="66">
        <v>0</v>
      </c>
      <c r="AE267" s="60">
        <v>0</v>
      </c>
    </row>
    <row r="268" spans="1:31" ht="18" hidden="1" customHeight="1" outlineLevel="1" x14ac:dyDescent="0.2">
      <c r="A268" s="30" t="s">
        <v>88</v>
      </c>
      <c r="B268" s="30" t="s">
        <v>22</v>
      </c>
      <c r="C268" s="4">
        <v>0</v>
      </c>
      <c r="D268" s="4">
        <v>0</v>
      </c>
      <c r="F268" s="38" t="s">
        <v>93</v>
      </c>
      <c r="G268" s="34"/>
      <c r="H268" s="66">
        <v>0</v>
      </c>
      <c r="I268" s="66">
        <v>0</v>
      </c>
      <c r="J268" s="66">
        <v>0</v>
      </c>
      <c r="K268" s="86">
        <v>0</v>
      </c>
      <c r="L268" s="86">
        <v>0</v>
      </c>
      <c r="M268" s="66">
        <v>0</v>
      </c>
      <c r="N268" s="66">
        <v>0</v>
      </c>
      <c r="O268" s="66">
        <v>0</v>
      </c>
      <c r="P268" s="66">
        <v>0</v>
      </c>
      <c r="Q268" s="66">
        <v>0</v>
      </c>
      <c r="R268" s="66">
        <v>0</v>
      </c>
      <c r="S268" s="66">
        <v>0</v>
      </c>
      <c r="T268" s="66">
        <v>0</v>
      </c>
      <c r="U268" s="66">
        <v>0</v>
      </c>
      <c r="V268" s="66">
        <v>0</v>
      </c>
      <c r="W268" s="66">
        <v>0</v>
      </c>
      <c r="X268" s="66">
        <v>0</v>
      </c>
      <c r="Y268" s="66">
        <v>0</v>
      </c>
      <c r="Z268" s="34"/>
      <c r="AA268" s="66">
        <v>0</v>
      </c>
      <c r="AB268" s="60">
        <v>0</v>
      </c>
      <c r="AC268" s="34"/>
      <c r="AD268" s="66">
        <v>0</v>
      </c>
      <c r="AE268" s="60">
        <v>0</v>
      </c>
    </row>
    <row r="269" spans="1:31" ht="18" hidden="1" customHeight="1" outlineLevel="1" x14ac:dyDescent="0.2">
      <c r="A269" s="30" t="s">
        <v>174</v>
      </c>
      <c r="B269" s="30" t="s">
        <v>22</v>
      </c>
      <c r="C269" s="4">
        <v>0</v>
      </c>
      <c r="D269" s="4">
        <v>0</v>
      </c>
      <c r="F269" s="38" t="s">
        <v>175</v>
      </c>
      <c r="G269" s="34"/>
      <c r="H269" s="66">
        <v>0</v>
      </c>
      <c r="I269" s="66">
        <v>0</v>
      </c>
      <c r="J269" s="66">
        <v>0</v>
      </c>
      <c r="K269" s="86">
        <v>0</v>
      </c>
      <c r="L269" s="86">
        <v>0</v>
      </c>
      <c r="M269" s="66">
        <v>0</v>
      </c>
      <c r="N269" s="66">
        <v>0</v>
      </c>
      <c r="O269" s="66">
        <v>0</v>
      </c>
      <c r="P269" s="66">
        <v>0</v>
      </c>
      <c r="Q269" s="66">
        <v>0</v>
      </c>
      <c r="R269" s="66">
        <v>0</v>
      </c>
      <c r="S269" s="66">
        <v>0</v>
      </c>
      <c r="T269" s="66">
        <v>0</v>
      </c>
      <c r="U269" s="66">
        <v>0</v>
      </c>
      <c r="V269" s="66">
        <v>0</v>
      </c>
      <c r="W269" s="66">
        <v>0</v>
      </c>
      <c r="X269" s="66">
        <v>0</v>
      </c>
      <c r="Y269" s="66">
        <v>0</v>
      </c>
      <c r="Z269" s="34"/>
      <c r="AA269" s="66">
        <v>0</v>
      </c>
      <c r="AB269" s="60">
        <v>0</v>
      </c>
      <c r="AC269" s="34"/>
      <c r="AD269" s="66">
        <v>0</v>
      </c>
      <c r="AE269" s="60">
        <v>0</v>
      </c>
    </row>
    <row r="270" spans="1:31" ht="18" hidden="1" customHeight="1" outlineLevel="1" x14ac:dyDescent="0.2">
      <c r="A270" s="30" t="s">
        <v>191</v>
      </c>
      <c r="B270" s="30" t="s">
        <v>22</v>
      </c>
      <c r="C270" s="4">
        <v>0</v>
      </c>
      <c r="D270" s="4">
        <v>0</v>
      </c>
      <c r="F270" s="38" t="s">
        <v>192</v>
      </c>
      <c r="G270" s="34"/>
      <c r="H270" s="66">
        <v>0</v>
      </c>
      <c r="I270" s="66">
        <v>0</v>
      </c>
      <c r="J270" s="66">
        <v>0</v>
      </c>
      <c r="K270" s="86">
        <v>0</v>
      </c>
      <c r="L270" s="86">
        <v>0</v>
      </c>
      <c r="M270" s="66">
        <v>0</v>
      </c>
      <c r="N270" s="66">
        <v>0</v>
      </c>
      <c r="O270" s="66">
        <v>0</v>
      </c>
      <c r="P270" s="66">
        <v>0</v>
      </c>
      <c r="Q270" s="66">
        <v>0</v>
      </c>
      <c r="R270" s="66">
        <v>0</v>
      </c>
      <c r="S270" s="66">
        <v>0</v>
      </c>
      <c r="T270" s="66">
        <v>0</v>
      </c>
      <c r="U270" s="66">
        <v>0</v>
      </c>
      <c r="V270" s="66">
        <v>0</v>
      </c>
      <c r="W270" s="66">
        <v>0</v>
      </c>
      <c r="X270" s="66">
        <v>0</v>
      </c>
      <c r="Y270" s="66">
        <v>0</v>
      </c>
      <c r="Z270" s="34"/>
      <c r="AA270" s="66">
        <v>0</v>
      </c>
      <c r="AB270" s="60">
        <v>0</v>
      </c>
      <c r="AC270" s="34"/>
      <c r="AD270" s="66">
        <v>0</v>
      </c>
      <c r="AE270" s="60">
        <v>0</v>
      </c>
    </row>
    <row r="271" spans="1:31" ht="18" hidden="1" customHeight="1" outlineLevel="1" x14ac:dyDescent="0.2">
      <c r="A271" s="30" t="s">
        <v>130</v>
      </c>
      <c r="B271" s="30" t="s">
        <v>22</v>
      </c>
      <c r="C271" s="4">
        <v>0</v>
      </c>
      <c r="D271" s="4">
        <v>0</v>
      </c>
      <c r="F271" s="38" t="s">
        <v>176</v>
      </c>
      <c r="G271" s="34"/>
      <c r="H271" s="66">
        <v>0</v>
      </c>
      <c r="I271" s="66">
        <v>0</v>
      </c>
      <c r="J271" s="66">
        <v>0</v>
      </c>
      <c r="K271" s="86">
        <v>0</v>
      </c>
      <c r="L271" s="86">
        <v>0</v>
      </c>
      <c r="M271" s="66">
        <v>0</v>
      </c>
      <c r="N271" s="66">
        <v>0</v>
      </c>
      <c r="O271" s="66">
        <v>0</v>
      </c>
      <c r="P271" s="66">
        <v>0</v>
      </c>
      <c r="Q271" s="66">
        <v>0</v>
      </c>
      <c r="R271" s="66">
        <v>0</v>
      </c>
      <c r="S271" s="66">
        <v>0</v>
      </c>
      <c r="T271" s="66">
        <v>0</v>
      </c>
      <c r="U271" s="66">
        <v>0</v>
      </c>
      <c r="V271" s="66">
        <v>0</v>
      </c>
      <c r="W271" s="66">
        <v>0</v>
      </c>
      <c r="X271" s="66">
        <v>0</v>
      </c>
      <c r="Y271" s="66">
        <v>0</v>
      </c>
      <c r="Z271" s="34"/>
      <c r="AA271" s="66">
        <v>0</v>
      </c>
      <c r="AB271" s="60">
        <v>0</v>
      </c>
      <c r="AC271" s="34"/>
      <c r="AD271" s="66">
        <v>0</v>
      </c>
      <c r="AE271" s="60">
        <v>0</v>
      </c>
    </row>
    <row r="272" spans="1:31" ht="18" hidden="1" customHeight="1" outlineLevel="1" x14ac:dyDescent="0.2">
      <c r="A272" s="30" t="s">
        <v>177</v>
      </c>
      <c r="B272" s="30" t="s">
        <v>22</v>
      </c>
      <c r="C272" s="4">
        <v>0</v>
      </c>
      <c r="D272" s="4">
        <v>0</v>
      </c>
      <c r="F272" s="38" t="s">
        <v>178</v>
      </c>
      <c r="G272" s="34"/>
      <c r="H272" s="66">
        <v>0</v>
      </c>
      <c r="I272" s="66">
        <v>0</v>
      </c>
      <c r="J272" s="66">
        <v>0</v>
      </c>
      <c r="K272" s="86">
        <v>0</v>
      </c>
      <c r="L272" s="86">
        <v>0</v>
      </c>
      <c r="M272" s="66">
        <v>0</v>
      </c>
      <c r="N272" s="66">
        <v>0</v>
      </c>
      <c r="O272" s="66">
        <v>0</v>
      </c>
      <c r="P272" s="66">
        <v>0</v>
      </c>
      <c r="Q272" s="66">
        <v>0</v>
      </c>
      <c r="R272" s="66">
        <v>0</v>
      </c>
      <c r="S272" s="66">
        <v>0</v>
      </c>
      <c r="T272" s="66">
        <v>0</v>
      </c>
      <c r="U272" s="66">
        <v>0</v>
      </c>
      <c r="V272" s="66">
        <v>0</v>
      </c>
      <c r="W272" s="66">
        <v>0</v>
      </c>
      <c r="X272" s="66">
        <v>0</v>
      </c>
      <c r="Y272" s="66">
        <v>0</v>
      </c>
      <c r="Z272" s="34"/>
      <c r="AA272" s="66">
        <v>0</v>
      </c>
      <c r="AB272" s="60">
        <v>0</v>
      </c>
      <c r="AC272" s="34"/>
      <c r="AD272" s="66">
        <v>0</v>
      </c>
      <c r="AE272" s="60">
        <v>0</v>
      </c>
    </row>
    <row r="273" spans="1:31" ht="18" hidden="1" customHeight="1" outlineLevel="1" x14ac:dyDescent="0.2">
      <c r="A273" s="30" t="s">
        <v>179</v>
      </c>
      <c r="B273" s="30" t="s">
        <v>22</v>
      </c>
      <c r="C273" s="4">
        <v>0</v>
      </c>
      <c r="D273" s="4">
        <v>0</v>
      </c>
      <c r="F273" s="38" t="s">
        <v>180</v>
      </c>
      <c r="G273" s="34"/>
      <c r="H273" s="66">
        <v>0</v>
      </c>
      <c r="I273" s="66">
        <v>0</v>
      </c>
      <c r="J273" s="66">
        <v>0</v>
      </c>
      <c r="K273" s="86">
        <v>0</v>
      </c>
      <c r="L273" s="86">
        <v>0</v>
      </c>
      <c r="M273" s="66">
        <v>0</v>
      </c>
      <c r="N273" s="66">
        <v>0</v>
      </c>
      <c r="O273" s="66">
        <v>0</v>
      </c>
      <c r="P273" s="66">
        <v>0</v>
      </c>
      <c r="Q273" s="66">
        <v>0</v>
      </c>
      <c r="R273" s="66">
        <v>0</v>
      </c>
      <c r="S273" s="66">
        <v>0</v>
      </c>
      <c r="T273" s="66">
        <v>0</v>
      </c>
      <c r="U273" s="66">
        <v>0</v>
      </c>
      <c r="V273" s="66">
        <v>0</v>
      </c>
      <c r="W273" s="66">
        <v>0</v>
      </c>
      <c r="X273" s="66">
        <v>0</v>
      </c>
      <c r="Y273" s="66">
        <v>0</v>
      </c>
      <c r="Z273" s="34"/>
      <c r="AA273" s="66">
        <v>0</v>
      </c>
      <c r="AB273" s="60">
        <v>0</v>
      </c>
      <c r="AC273" s="34"/>
      <c r="AD273" s="66">
        <v>0</v>
      </c>
      <c r="AE273" s="60">
        <v>0</v>
      </c>
    </row>
    <row r="274" spans="1:31" ht="18" hidden="1" customHeight="1" outlineLevel="1" x14ac:dyDescent="0.2">
      <c r="A274" s="30" t="s">
        <v>89</v>
      </c>
      <c r="B274" s="30" t="s">
        <v>22</v>
      </c>
      <c r="C274" s="4">
        <v>0</v>
      </c>
      <c r="D274" s="4">
        <v>0</v>
      </c>
      <c r="F274" s="38" t="s">
        <v>187</v>
      </c>
      <c r="G274" s="34"/>
      <c r="H274" s="66">
        <v>0</v>
      </c>
      <c r="I274" s="66">
        <v>0</v>
      </c>
      <c r="J274" s="66">
        <v>0</v>
      </c>
      <c r="K274" s="86">
        <v>0</v>
      </c>
      <c r="L274" s="86">
        <v>0</v>
      </c>
      <c r="M274" s="66">
        <v>0</v>
      </c>
      <c r="N274" s="66">
        <v>0</v>
      </c>
      <c r="O274" s="66">
        <v>0</v>
      </c>
      <c r="P274" s="66">
        <v>0</v>
      </c>
      <c r="Q274" s="66">
        <v>0</v>
      </c>
      <c r="R274" s="66">
        <v>0</v>
      </c>
      <c r="S274" s="66">
        <v>0</v>
      </c>
      <c r="T274" s="66">
        <v>0</v>
      </c>
      <c r="U274" s="66">
        <v>0</v>
      </c>
      <c r="V274" s="66">
        <v>0</v>
      </c>
      <c r="W274" s="66">
        <v>0</v>
      </c>
      <c r="X274" s="66">
        <v>0</v>
      </c>
      <c r="Y274" s="66">
        <v>0</v>
      </c>
      <c r="Z274" s="34"/>
      <c r="AA274" s="66">
        <v>0</v>
      </c>
      <c r="AB274" s="60">
        <v>0</v>
      </c>
      <c r="AC274" s="34"/>
      <c r="AD274" s="66">
        <v>0</v>
      </c>
      <c r="AE274" s="60">
        <v>0</v>
      </c>
    </row>
    <row r="275" spans="1:31" ht="18" hidden="1" customHeight="1" outlineLevel="1" x14ac:dyDescent="0.2">
      <c r="A275" s="30" t="s">
        <v>193</v>
      </c>
      <c r="B275" s="30" t="s">
        <v>22</v>
      </c>
      <c r="C275" s="4">
        <v>0</v>
      </c>
      <c r="D275" s="4">
        <v>0</v>
      </c>
      <c r="F275" s="38" t="s">
        <v>194</v>
      </c>
      <c r="G275" s="34"/>
      <c r="H275" s="66">
        <v>0</v>
      </c>
      <c r="I275" s="66">
        <v>0</v>
      </c>
      <c r="J275" s="66">
        <v>0</v>
      </c>
      <c r="K275" s="86">
        <v>0</v>
      </c>
      <c r="L275" s="86">
        <v>0</v>
      </c>
      <c r="M275" s="66">
        <v>0</v>
      </c>
      <c r="N275" s="66">
        <v>0</v>
      </c>
      <c r="O275" s="66">
        <v>0</v>
      </c>
      <c r="P275" s="66">
        <v>0</v>
      </c>
      <c r="Q275" s="66">
        <v>0</v>
      </c>
      <c r="R275" s="66">
        <v>0</v>
      </c>
      <c r="S275" s="66">
        <v>0</v>
      </c>
      <c r="T275" s="66">
        <v>0</v>
      </c>
      <c r="U275" s="66">
        <v>0</v>
      </c>
      <c r="V275" s="66">
        <v>0</v>
      </c>
      <c r="W275" s="66">
        <v>0</v>
      </c>
      <c r="X275" s="66">
        <v>0</v>
      </c>
      <c r="Y275" s="66">
        <v>0</v>
      </c>
      <c r="Z275" s="34"/>
      <c r="AA275" s="66">
        <v>0</v>
      </c>
      <c r="AB275" s="60">
        <v>0</v>
      </c>
      <c r="AC275" s="34"/>
      <c r="AD275" s="66">
        <v>0</v>
      </c>
      <c r="AE275" s="60">
        <v>0</v>
      </c>
    </row>
    <row r="276" spans="1:31" ht="18" hidden="1" customHeight="1" outlineLevel="1" x14ac:dyDescent="0.2">
      <c r="A276" s="30" t="s">
        <v>127</v>
      </c>
      <c r="B276" s="30" t="s">
        <v>22</v>
      </c>
      <c r="C276" s="4">
        <v>0</v>
      </c>
      <c r="D276" s="4">
        <v>0</v>
      </c>
      <c r="F276" s="38" t="s">
        <v>128</v>
      </c>
      <c r="G276" s="34"/>
      <c r="H276" s="66">
        <v>0</v>
      </c>
      <c r="I276" s="66">
        <v>0</v>
      </c>
      <c r="J276" s="66">
        <v>0</v>
      </c>
      <c r="K276" s="86">
        <v>0</v>
      </c>
      <c r="L276" s="86">
        <v>0</v>
      </c>
      <c r="M276" s="66">
        <v>0</v>
      </c>
      <c r="N276" s="66">
        <v>0</v>
      </c>
      <c r="O276" s="66">
        <v>0</v>
      </c>
      <c r="P276" s="66">
        <v>0</v>
      </c>
      <c r="Q276" s="66">
        <v>0</v>
      </c>
      <c r="R276" s="66">
        <v>0</v>
      </c>
      <c r="S276" s="66">
        <v>0</v>
      </c>
      <c r="T276" s="66">
        <v>0</v>
      </c>
      <c r="U276" s="66">
        <v>0</v>
      </c>
      <c r="V276" s="66">
        <v>0</v>
      </c>
      <c r="W276" s="66">
        <v>0</v>
      </c>
      <c r="X276" s="66">
        <v>0</v>
      </c>
      <c r="Y276" s="66">
        <v>0</v>
      </c>
      <c r="Z276" s="34"/>
      <c r="AA276" s="66">
        <v>0</v>
      </c>
      <c r="AB276" s="60">
        <v>0</v>
      </c>
      <c r="AC276" s="34"/>
      <c r="AD276" s="66">
        <v>0</v>
      </c>
      <c r="AE276" s="60">
        <v>0</v>
      </c>
    </row>
    <row r="277" spans="1:31" ht="18" hidden="1" customHeight="1" outlineLevel="1" x14ac:dyDescent="0.2">
      <c r="A277" s="30" t="s">
        <v>261</v>
      </c>
      <c r="B277" s="30" t="s">
        <v>22</v>
      </c>
      <c r="C277" s="4">
        <v>0</v>
      </c>
      <c r="D277" s="4">
        <v>0</v>
      </c>
      <c r="F277" s="38" t="s">
        <v>262</v>
      </c>
      <c r="G277" s="34"/>
      <c r="H277" s="66">
        <v>0</v>
      </c>
      <c r="I277" s="66">
        <v>0</v>
      </c>
      <c r="J277" s="66">
        <v>0</v>
      </c>
      <c r="K277" s="86">
        <v>0</v>
      </c>
      <c r="L277" s="86">
        <v>0</v>
      </c>
      <c r="M277" s="66">
        <v>0</v>
      </c>
      <c r="N277" s="66">
        <v>0</v>
      </c>
      <c r="O277" s="66">
        <v>0</v>
      </c>
      <c r="P277" s="66">
        <v>0</v>
      </c>
      <c r="Q277" s="66">
        <v>0</v>
      </c>
      <c r="R277" s="66">
        <v>0</v>
      </c>
      <c r="S277" s="66">
        <v>0</v>
      </c>
      <c r="T277" s="66">
        <v>0</v>
      </c>
      <c r="U277" s="66">
        <v>0</v>
      </c>
      <c r="V277" s="66">
        <v>0</v>
      </c>
      <c r="W277" s="66">
        <v>0</v>
      </c>
      <c r="X277" s="66">
        <v>0</v>
      </c>
      <c r="Y277" s="66">
        <v>0</v>
      </c>
      <c r="Z277" s="34"/>
      <c r="AA277" s="66">
        <v>0</v>
      </c>
      <c r="AB277" s="60">
        <v>0</v>
      </c>
      <c r="AC277" s="34"/>
      <c r="AD277" s="66">
        <v>0</v>
      </c>
      <c r="AE277" s="60">
        <v>0</v>
      </c>
    </row>
    <row r="278" spans="1:31" ht="18" hidden="1" customHeight="1" outlineLevel="1" x14ac:dyDescent="0.2">
      <c r="A278" s="30" t="s">
        <v>263</v>
      </c>
      <c r="B278" s="30" t="s">
        <v>22</v>
      </c>
      <c r="C278" s="4">
        <v>0</v>
      </c>
      <c r="D278" s="4">
        <v>0</v>
      </c>
      <c r="F278" s="38" t="s">
        <v>264</v>
      </c>
      <c r="G278" s="34"/>
      <c r="H278" s="66">
        <v>0</v>
      </c>
      <c r="I278" s="66">
        <v>0</v>
      </c>
      <c r="J278" s="66">
        <v>0</v>
      </c>
      <c r="K278" s="86">
        <v>0</v>
      </c>
      <c r="L278" s="86">
        <v>0</v>
      </c>
      <c r="M278" s="66">
        <v>0</v>
      </c>
      <c r="N278" s="66">
        <v>0</v>
      </c>
      <c r="O278" s="66">
        <v>0</v>
      </c>
      <c r="P278" s="66">
        <v>0</v>
      </c>
      <c r="Q278" s="66">
        <v>0</v>
      </c>
      <c r="R278" s="66">
        <v>0</v>
      </c>
      <c r="S278" s="66">
        <v>0</v>
      </c>
      <c r="T278" s="66">
        <v>0</v>
      </c>
      <c r="U278" s="66">
        <v>0</v>
      </c>
      <c r="V278" s="66">
        <v>0</v>
      </c>
      <c r="W278" s="66">
        <v>0</v>
      </c>
      <c r="X278" s="66">
        <v>0</v>
      </c>
      <c r="Y278" s="66">
        <v>0</v>
      </c>
      <c r="Z278" s="34"/>
      <c r="AA278" s="66">
        <v>0</v>
      </c>
      <c r="AB278" s="60">
        <v>0</v>
      </c>
      <c r="AC278" s="34"/>
      <c r="AD278" s="66">
        <v>0</v>
      </c>
      <c r="AE278" s="60">
        <v>0</v>
      </c>
    </row>
    <row r="279" spans="1:31" ht="18" hidden="1" customHeight="1" outlineLevel="1" x14ac:dyDescent="0.2">
      <c r="A279" s="30" t="s">
        <v>195</v>
      </c>
      <c r="B279" s="30" t="s">
        <v>22</v>
      </c>
      <c r="C279" s="4">
        <v>0</v>
      </c>
      <c r="D279" s="4">
        <v>0</v>
      </c>
      <c r="F279" s="38" t="s">
        <v>196</v>
      </c>
      <c r="G279" s="34"/>
      <c r="H279" s="66">
        <v>0</v>
      </c>
      <c r="I279" s="66">
        <v>0</v>
      </c>
      <c r="J279" s="66">
        <v>0</v>
      </c>
      <c r="K279" s="86">
        <v>0</v>
      </c>
      <c r="L279" s="86">
        <v>0</v>
      </c>
      <c r="M279" s="66">
        <v>0</v>
      </c>
      <c r="N279" s="66">
        <v>0</v>
      </c>
      <c r="O279" s="66">
        <v>0</v>
      </c>
      <c r="P279" s="66">
        <v>0</v>
      </c>
      <c r="Q279" s="66">
        <v>0</v>
      </c>
      <c r="R279" s="66">
        <v>0</v>
      </c>
      <c r="S279" s="66">
        <v>0</v>
      </c>
      <c r="T279" s="66">
        <v>0</v>
      </c>
      <c r="U279" s="66">
        <v>0</v>
      </c>
      <c r="V279" s="66">
        <v>0</v>
      </c>
      <c r="W279" s="66">
        <v>0</v>
      </c>
      <c r="X279" s="66">
        <v>0</v>
      </c>
      <c r="Y279" s="66">
        <v>0</v>
      </c>
      <c r="Z279" s="34"/>
      <c r="AA279" s="66">
        <v>0</v>
      </c>
      <c r="AB279" s="60">
        <v>0</v>
      </c>
      <c r="AC279" s="34"/>
      <c r="AD279" s="66">
        <v>0</v>
      </c>
      <c r="AE279" s="60">
        <v>0</v>
      </c>
    </row>
    <row r="280" spans="1:31" ht="18" hidden="1" customHeight="1" outlineLevel="1" x14ac:dyDescent="0.2">
      <c r="A280" s="30" t="s">
        <v>200</v>
      </c>
      <c r="B280" s="30" t="s">
        <v>22</v>
      </c>
      <c r="C280" s="4">
        <v>0</v>
      </c>
      <c r="D280" s="4">
        <v>0</v>
      </c>
      <c r="F280" s="104" t="s">
        <v>183</v>
      </c>
      <c r="G280" s="36"/>
      <c r="H280" s="65">
        <v>0</v>
      </c>
      <c r="I280" s="65">
        <v>0</v>
      </c>
      <c r="J280" s="65">
        <v>0</v>
      </c>
      <c r="K280" s="90">
        <v>0</v>
      </c>
      <c r="L280" s="90">
        <v>0</v>
      </c>
      <c r="M280" s="65">
        <v>0</v>
      </c>
      <c r="N280" s="65">
        <v>0</v>
      </c>
      <c r="O280" s="65">
        <v>0</v>
      </c>
      <c r="P280" s="65">
        <v>0</v>
      </c>
      <c r="Q280" s="65">
        <v>0</v>
      </c>
      <c r="R280" s="65">
        <v>0</v>
      </c>
      <c r="S280" s="65">
        <v>0</v>
      </c>
      <c r="T280" s="65">
        <v>0</v>
      </c>
      <c r="U280" s="65">
        <v>0</v>
      </c>
      <c r="V280" s="65">
        <v>0</v>
      </c>
      <c r="W280" s="65">
        <v>0</v>
      </c>
      <c r="X280" s="65">
        <v>0</v>
      </c>
      <c r="Y280" s="65">
        <v>0</v>
      </c>
      <c r="Z280" s="36"/>
      <c r="AA280" s="65">
        <v>0</v>
      </c>
      <c r="AB280" s="60">
        <v>0</v>
      </c>
      <c r="AC280" s="36"/>
      <c r="AD280" s="65">
        <v>0</v>
      </c>
      <c r="AE280" s="60">
        <v>0</v>
      </c>
    </row>
    <row r="281" spans="1:31" ht="18" hidden="1" customHeight="1" outlineLevel="1" x14ac:dyDescent="0.2">
      <c r="A281" s="30" t="s">
        <v>199</v>
      </c>
      <c r="B281" s="30" t="s">
        <v>22</v>
      </c>
      <c r="C281" s="4">
        <v>0</v>
      </c>
      <c r="D281" s="4">
        <v>0</v>
      </c>
      <c r="F281" s="38" t="s">
        <v>184</v>
      </c>
      <c r="G281" s="34"/>
      <c r="H281" s="66">
        <v>0</v>
      </c>
      <c r="I281" s="66">
        <v>0</v>
      </c>
      <c r="J281" s="66">
        <v>0</v>
      </c>
      <c r="K281" s="86">
        <v>0</v>
      </c>
      <c r="L281" s="86">
        <v>0</v>
      </c>
      <c r="M281" s="66">
        <v>0</v>
      </c>
      <c r="N281" s="66">
        <v>0</v>
      </c>
      <c r="O281" s="66">
        <v>0</v>
      </c>
      <c r="P281" s="66">
        <v>0</v>
      </c>
      <c r="Q281" s="66">
        <v>0</v>
      </c>
      <c r="R281" s="66">
        <v>0</v>
      </c>
      <c r="S281" s="66">
        <v>0</v>
      </c>
      <c r="T281" s="66">
        <v>0</v>
      </c>
      <c r="U281" s="66">
        <v>0</v>
      </c>
      <c r="V281" s="66">
        <v>0</v>
      </c>
      <c r="W281" s="66">
        <v>0</v>
      </c>
      <c r="X281" s="66">
        <v>0</v>
      </c>
      <c r="Y281" s="66">
        <v>0</v>
      </c>
      <c r="Z281" s="34"/>
      <c r="AA281" s="66">
        <v>0</v>
      </c>
      <c r="AB281" s="60">
        <v>0</v>
      </c>
      <c r="AC281" s="34"/>
      <c r="AD281" s="66">
        <v>0</v>
      </c>
      <c r="AE281" s="60">
        <v>0</v>
      </c>
    </row>
    <row r="282" spans="1:31" s="253" customFormat="1" ht="18" hidden="1" customHeight="1" outlineLevel="1" x14ac:dyDescent="0.2">
      <c r="A282" s="276" t="s">
        <v>445</v>
      </c>
      <c r="B282" s="276" t="s">
        <v>22</v>
      </c>
      <c r="C282" s="252">
        <v>0</v>
      </c>
      <c r="D282" s="252">
        <v>0</v>
      </c>
      <c r="F282" s="255" t="s">
        <v>452</v>
      </c>
      <c r="G282" s="239"/>
      <c r="H282" s="241">
        <v>0</v>
      </c>
      <c r="I282" s="241">
        <v>0</v>
      </c>
      <c r="J282" s="241">
        <v>0</v>
      </c>
      <c r="K282" s="258">
        <v>0</v>
      </c>
      <c r="L282" s="258">
        <v>0</v>
      </c>
      <c r="M282" s="241">
        <v>0</v>
      </c>
      <c r="N282" s="241">
        <v>0</v>
      </c>
      <c r="O282" s="241">
        <v>0</v>
      </c>
      <c r="P282" s="241">
        <v>0</v>
      </c>
      <c r="Q282" s="241">
        <v>0</v>
      </c>
      <c r="R282" s="241">
        <v>0</v>
      </c>
      <c r="S282" s="241">
        <v>0</v>
      </c>
      <c r="T282" s="241">
        <v>0</v>
      </c>
      <c r="U282" s="241">
        <v>0</v>
      </c>
      <c r="V282" s="241">
        <v>0</v>
      </c>
      <c r="W282" s="241">
        <v>0</v>
      </c>
      <c r="X282" s="241">
        <v>0</v>
      </c>
      <c r="Y282" s="241">
        <v>0</v>
      </c>
      <c r="Z282" s="239"/>
      <c r="AA282" s="241">
        <v>0</v>
      </c>
      <c r="AB282" s="256">
        <v>0</v>
      </c>
      <c r="AC282" s="239"/>
      <c r="AD282" s="241"/>
      <c r="AE282" s="256"/>
    </row>
    <row r="283" spans="1:31" ht="18" hidden="1" customHeight="1" outlineLevel="1" x14ac:dyDescent="0.2">
      <c r="A283" s="30" t="s">
        <v>185</v>
      </c>
      <c r="B283" s="30" t="s">
        <v>22</v>
      </c>
      <c r="C283" s="4">
        <v>0</v>
      </c>
      <c r="D283" s="4">
        <v>0</v>
      </c>
      <c r="F283" s="38" t="s">
        <v>186</v>
      </c>
      <c r="G283" s="34"/>
      <c r="H283" s="66">
        <v>0</v>
      </c>
      <c r="I283" s="66">
        <v>0.27900000000000003</v>
      </c>
      <c r="J283" s="66">
        <v>0.27900000000000003</v>
      </c>
      <c r="K283" s="86">
        <v>0</v>
      </c>
      <c r="L283" s="86">
        <v>0</v>
      </c>
      <c r="M283" s="66">
        <v>0</v>
      </c>
      <c r="N283" s="66">
        <v>0</v>
      </c>
      <c r="O283" s="66">
        <v>0</v>
      </c>
      <c r="P283" s="66">
        <v>0</v>
      </c>
      <c r="Q283" s="66">
        <v>0</v>
      </c>
      <c r="R283" s="66">
        <v>0</v>
      </c>
      <c r="S283" s="66">
        <v>0</v>
      </c>
      <c r="T283" s="66">
        <v>0</v>
      </c>
      <c r="U283" s="66">
        <v>0</v>
      </c>
      <c r="V283" s="66">
        <v>0</v>
      </c>
      <c r="W283" s="66">
        <v>0</v>
      </c>
      <c r="X283" s="66">
        <v>0</v>
      </c>
      <c r="Y283" s="66">
        <v>0</v>
      </c>
      <c r="Z283" s="34"/>
      <c r="AA283" s="66">
        <v>0</v>
      </c>
      <c r="AB283" s="60">
        <v>0</v>
      </c>
      <c r="AC283" s="34"/>
      <c r="AD283" s="66">
        <v>0</v>
      </c>
      <c r="AE283" s="60">
        <v>0</v>
      </c>
    </row>
    <row r="284" spans="1:31" ht="18" hidden="1" customHeight="1" outlineLevel="1" x14ac:dyDescent="0.2">
      <c r="A284" s="30" t="s">
        <v>125</v>
      </c>
      <c r="B284" s="30" t="s">
        <v>22</v>
      </c>
      <c r="C284" s="4">
        <v>0</v>
      </c>
      <c r="D284" s="4">
        <v>0</v>
      </c>
      <c r="F284" s="38" t="s">
        <v>126</v>
      </c>
      <c r="G284" s="34"/>
      <c r="H284" s="66">
        <v>0</v>
      </c>
      <c r="I284" s="66">
        <v>-1.2999999999999999E-2</v>
      </c>
      <c r="J284" s="66">
        <v>-1.2999999999999999E-2</v>
      </c>
      <c r="K284" s="86">
        <v>0</v>
      </c>
      <c r="L284" s="86">
        <v>0</v>
      </c>
      <c r="M284" s="66">
        <v>0</v>
      </c>
      <c r="N284" s="66">
        <v>0</v>
      </c>
      <c r="O284" s="66">
        <v>0</v>
      </c>
      <c r="P284" s="66">
        <v>0</v>
      </c>
      <c r="Q284" s="66">
        <v>0</v>
      </c>
      <c r="R284" s="66">
        <v>0</v>
      </c>
      <c r="S284" s="66">
        <v>0</v>
      </c>
      <c r="T284" s="66">
        <v>0</v>
      </c>
      <c r="U284" s="66">
        <v>0</v>
      </c>
      <c r="V284" s="66">
        <v>0</v>
      </c>
      <c r="W284" s="66">
        <v>0</v>
      </c>
      <c r="X284" s="66">
        <v>0</v>
      </c>
      <c r="Y284" s="66">
        <v>0</v>
      </c>
      <c r="Z284" s="34"/>
      <c r="AA284" s="66">
        <v>0</v>
      </c>
      <c r="AB284" s="60">
        <v>0</v>
      </c>
      <c r="AC284" s="34"/>
      <c r="AD284" s="66">
        <v>0</v>
      </c>
      <c r="AE284" s="60">
        <v>0</v>
      </c>
    </row>
    <row r="285" spans="1:31" ht="18" customHeight="1" collapsed="1" x14ac:dyDescent="0.2">
      <c r="A285" s="35"/>
      <c r="B285" s="35"/>
      <c r="C285" s="4">
        <v>0</v>
      </c>
      <c r="D285" s="4">
        <v>0</v>
      </c>
      <c r="F285" s="106" t="s">
        <v>69</v>
      </c>
      <c r="H285" s="61">
        <v>0</v>
      </c>
      <c r="I285" s="61">
        <v>0.26600000000000001</v>
      </c>
      <c r="J285" s="61">
        <v>0.26600000000000001</v>
      </c>
      <c r="K285" s="86">
        <v>0</v>
      </c>
      <c r="L285" s="86">
        <v>0</v>
      </c>
      <c r="M285" s="61">
        <v>0</v>
      </c>
      <c r="N285" s="61">
        <v>0</v>
      </c>
      <c r="O285" s="61">
        <v>0</v>
      </c>
      <c r="P285" s="61">
        <v>0</v>
      </c>
      <c r="Q285" s="61">
        <v>0</v>
      </c>
      <c r="R285" s="61">
        <v>0</v>
      </c>
      <c r="S285" s="61">
        <v>0</v>
      </c>
      <c r="T285" s="61">
        <v>0</v>
      </c>
      <c r="U285" s="61">
        <v>0</v>
      </c>
      <c r="V285" s="61">
        <v>0</v>
      </c>
      <c r="W285" s="61">
        <v>0</v>
      </c>
      <c r="X285" s="61">
        <v>0</v>
      </c>
      <c r="Y285" s="61">
        <v>0</v>
      </c>
      <c r="AA285" s="61">
        <v>0</v>
      </c>
      <c r="AB285" s="60">
        <v>0</v>
      </c>
      <c r="AD285" s="61">
        <v>0</v>
      </c>
      <c r="AE285" s="60">
        <v>0</v>
      </c>
    </row>
    <row r="286" spans="1:31" ht="18" customHeight="1" x14ac:dyDescent="0.2">
      <c r="A286" s="30" t="s">
        <v>257</v>
      </c>
      <c r="B286" s="30" t="s">
        <v>22</v>
      </c>
      <c r="C286" s="4">
        <v>-1.0007616146230007</v>
      </c>
      <c r="D286" s="4">
        <v>-1.0007616146230007</v>
      </c>
      <c r="F286" s="104" t="s">
        <v>258</v>
      </c>
      <c r="G286" s="36"/>
      <c r="H286" s="65">
        <v>-7.6180000000000003</v>
      </c>
      <c r="I286" s="65">
        <v>62.835999999999999</v>
      </c>
      <c r="J286" s="65">
        <v>62.835999999999999</v>
      </c>
      <c r="K286" s="65">
        <v>0</v>
      </c>
      <c r="L286" s="65">
        <v>0</v>
      </c>
      <c r="M286" s="65">
        <v>-0.42399999999999899</v>
      </c>
      <c r="N286" s="65">
        <v>-0.81900000000000106</v>
      </c>
      <c r="O286" s="65">
        <v>-3.1209999999999996</v>
      </c>
      <c r="P286" s="65">
        <v>-0.32800000000000029</v>
      </c>
      <c r="Q286" s="65">
        <v>0.24600000000000044</v>
      </c>
      <c r="R286" s="65">
        <v>-1.0600000000000005</v>
      </c>
      <c r="S286" s="65">
        <v>0</v>
      </c>
      <c r="T286" s="65">
        <v>-0.24299999999999944</v>
      </c>
      <c r="U286" s="65">
        <v>-0.67300000000000004</v>
      </c>
      <c r="V286" s="65">
        <v>0.89799999999999969</v>
      </c>
      <c r="W286" s="65">
        <v>-0.5860000000000003</v>
      </c>
      <c r="X286" s="65">
        <v>-0.45500000000000007</v>
      </c>
      <c r="Y286" s="65">
        <v>-6.5650000000000004</v>
      </c>
      <c r="Z286" s="36"/>
      <c r="AA286" s="65">
        <v>0</v>
      </c>
      <c r="AB286" s="60">
        <v>-6.57</v>
      </c>
      <c r="AC286" s="36"/>
      <c r="AD286" s="65">
        <v>0</v>
      </c>
      <c r="AE286" s="60">
        <v>-6.57</v>
      </c>
    </row>
    <row r="287" spans="1:31" ht="18" customHeight="1" x14ac:dyDescent="0.2">
      <c r="A287" s="30" t="s">
        <v>256</v>
      </c>
      <c r="B287" s="30" t="s">
        <v>22</v>
      </c>
      <c r="C287" s="4">
        <v>0</v>
      </c>
      <c r="D287" s="4">
        <v>0</v>
      </c>
      <c r="F287" s="104" t="s">
        <v>259</v>
      </c>
      <c r="G287" s="36"/>
      <c r="H287" s="65">
        <v>0</v>
      </c>
      <c r="I287" s="65">
        <v>0</v>
      </c>
      <c r="J287" s="65">
        <v>0</v>
      </c>
      <c r="K287" s="65">
        <v>0</v>
      </c>
      <c r="L287" s="65">
        <v>0</v>
      </c>
      <c r="M287" s="65">
        <v>0</v>
      </c>
      <c r="N287" s="65">
        <v>0</v>
      </c>
      <c r="O287" s="65">
        <v>0</v>
      </c>
      <c r="P287" s="65">
        <v>0</v>
      </c>
      <c r="Q287" s="65">
        <v>0</v>
      </c>
      <c r="R287" s="65">
        <v>0</v>
      </c>
      <c r="S287" s="65">
        <v>0</v>
      </c>
      <c r="T287" s="65">
        <v>0</v>
      </c>
      <c r="U287" s="65">
        <v>0</v>
      </c>
      <c r="V287" s="65">
        <v>0</v>
      </c>
      <c r="W287" s="65">
        <v>0</v>
      </c>
      <c r="X287" s="65">
        <v>0</v>
      </c>
      <c r="Y287" s="65">
        <v>0</v>
      </c>
      <c r="Z287" s="36"/>
      <c r="AA287" s="65">
        <v>0</v>
      </c>
      <c r="AB287" s="60">
        <v>0</v>
      </c>
      <c r="AC287" s="36"/>
      <c r="AD287" s="65">
        <v>0</v>
      </c>
      <c r="AE287" s="60">
        <v>0</v>
      </c>
    </row>
    <row r="288" spans="1:31" ht="18" customHeight="1" x14ac:dyDescent="0.2">
      <c r="A288" s="35"/>
      <c r="B288" s="35"/>
      <c r="C288" s="4">
        <v>-46.597222222222229</v>
      </c>
      <c r="D288" s="4">
        <v>-0.99999999999999989</v>
      </c>
      <c r="F288" s="95" t="s">
        <v>87</v>
      </c>
      <c r="H288" s="64">
        <v>-11.342000000000001</v>
      </c>
      <c r="I288" s="64">
        <v>62.053999999999995</v>
      </c>
      <c r="J288" s="64">
        <v>62.053999999999995</v>
      </c>
      <c r="K288" s="89">
        <v>-0.14399999999999999</v>
      </c>
      <c r="L288" s="89">
        <v>0</v>
      </c>
      <c r="M288" s="64">
        <v>-0.47199999999999898</v>
      </c>
      <c r="N288" s="64">
        <v>-0.8660000000000011</v>
      </c>
      <c r="O288" s="64">
        <v>-3.1699999999999995</v>
      </c>
      <c r="P288" s="64">
        <v>-0.37500000000000028</v>
      </c>
      <c r="Q288" s="64">
        <v>0.22600000000000042</v>
      </c>
      <c r="R288" s="64">
        <v>-1.0800000000000005</v>
      </c>
      <c r="S288" s="64">
        <v>-2.200000000000002E-2</v>
      </c>
      <c r="T288" s="64">
        <v>-0.2629999999999994</v>
      </c>
      <c r="U288" s="64">
        <v>-0.69300000000000006</v>
      </c>
      <c r="V288" s="64">
        <v>0.88999999999999968</v>
      </c>
      <c r="W288" s="64">
        <v>-0.59400000000000031</v>
      </c>
      <c r="X288" s="64">
        <v>-0.43100000000000005</v>
      </c>
      <c r="Y288" s="64">
        <v>-6.8500000000000005</v>
      </c>
      <c r="AA288" s="64">
        <v>-0.14399999999999999</v>
      </c>
      <c r="AB288" s="60">
        <v>-6.71</v>
      </c>
      <c r="AD288" s="64">
        <v>0</v>
      </c>
      <c r="AE288" s="60">
        <v>-6.85</v>
      </c>
    </row>
    <row r="289" spans="1:33" ht="12.95" customHeight="1" x14ac:dyDescent="0.2">
      <c r="A289" s="35"/>
      <c r="B289" s="35"/>
      <c r="C289" s="4"/>
      <c r="D289" s="4"/>
      <c r="F289" s="39" t="s">
        <v>223</v>
      </c>
      <c r="H289" s="56">
        <v>2.4539372906732207E-2</v>
      </c>
      <c r="I289" s="56">
        <v>-0.54981216331159621</v>
      </c>
      <c r="J289" s="56">
        <v>-0.54981216331159621</v>
      </c>
      <c r="K289" s="109" t="e">
        <v>#DIV/0!</v>
      </c>
      <c r="L289" s="109" t="e">
        <v>#DIV/0!</v>
      </c>
      <c r="M289" s="56" t="e">
        <v>#DIV/0!</v>
      </c>
      <c r="N289" s="56">
        <v>1.7354709418837697</v>
      </c>
      <c r="O289" s="56" t="e">
        <v>#DIV/0!</v>
      </c>
      <c r="P289" s="56" t="e">
        <v>#DIV/0!</v>
      </c>
      <c r="Q289" s="56" t="e">
        <v>#DIV/0!</v>
      </c>
      <c r="R289" s="56">
        <v>1.2872467222884392</v>
      </c>
      <c r="S289" s="56">
        <v>-0.13173652694610788</v>
      </c>
      <c r="T289" s="56" t="e">
        <v>#DIV/0!</v>
      </c>
      <c r="U289" s="56" t="e">
        <v>#DIV/0!</v>
      </c>
      <c r="V289" s="56" t="e">
        <v>#DIV/0!</v>
      </c>
      <c r="W289" s="56" t="e">
        <v>#DIV/0!</v>
      </c>
      <c r="X289" s="56">
        <v>1.6576923076923078</v>
      </c>
      <c r="Y289" s="56">
        <v>4.7868623340321452</v>
      </c>
      <c r="AA289" s="56" t="e">
        <v>#DIV/0!</v>
      </c>
      <c r="AB289" s="57"/>
      <c r="AD289" s="56" t="e">
        <v>#DIV/0!</v>
      </c>
      <c r="AE289" s="57"/>
    </row>
    <row r="290" spans="1:33" ht="6.95" customHeight="1" x14ac:dyDescent="0.2">
      <c r="C290" s="4"/>
      <c r="D290" s="4"/>
      <c r="F290" s="96"/>
      <c r="H290" s="16"/>
      <c r="I290" s="16"/>
      <c r="J290" s="16"/>
      <c r="K290" s="85"/>
      <c r="L290" s="85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AA290" s="16"/>
      <c r="AB290" s="20"/>
      <c r="AD290" s="16"/>
      <c r="AE290" s="20"/>
    </row>
    <row r="291" spans="1:33" ht="18" customHeight="1" x14ac:dyDescent="0.2">
      <c r="A291" s="30" t="s">
        <v>19</v>
      </c>
      <c r="B291" s="30" t="s">
        <v>25</v>
      </c>
      <c r="C291" s="4">
        <v>-1.0256410256410258</v>
      </c>
      <c r="D291" s="4">
        <v>-1.0256410256410258</v>
      </c>
      <c r="F291" s="104" t="s">
        <v>255</v>
      </c>
      <c r="G291" s="36"/>
      <c r="H291" s="65">
        <v>-0.307</v>
      </c>
      <c r="I291" s="65">
        <v>-0.78600000000000003</v>
      </c>
      <c r="J291" s="65">
        <v>-0.78600000000000003</v>
      </c>
      <c r="K291" s="65">
        <v>0</v>
      </c>
      <c r="L291" s="65">
        <v>0</v>
      </c>
      <c r="M291" s="65">
        <v>0</v>
      </c>
      <c r="N291" s="65">
        <v>0</v>
      </c>
      <c r="O291" s="65">
        <v>0</v>
      </c>
      <c r="P291" s="65">
        <v>0</v>
      </c>
      <c r="Q291" s="65">
        <v>0</v>
      </c>
      <c r="R291" s="65">
        <v>0</v>
      </c>
      <c r="S291" s="65">
        <v>0</v>
      </c>
      <c r="T291" s="65">
        <v>0</v>
      </c>
      <c r="U291" s="65">
        <v>0</v>
      </c>
      <c r="V291" s="65">
        <v>-0.156</v>
      </c>
      <c r="W291" s="65">
        <v>0</v>
      </c>
      <c r="X291" s="65">
        <v>0</v>
      </c>
      <c r="Y291" s="65">
        <v>-0.156</v>
      </c>
      <c r="Z291" s="36"/>
      <c r="AA291" s="65">
        <v>0</v>
      </c>
      <c r="AB291" s="60">
        <v>-0.16</v>
      </c>
      <c r="AC291" s="36"/>
      <c r="AD291" s="65">
        <v>0</v>
      </c>
      <c r="AE291" s="60">
        <v>-0.16</v>
      </c>
    </row>
    <row r="292" spans="1:33" ht="12.95" customHeight="1" x14ac:dyDescent="0.2">
      <c r="A292" s="35"/>
      <c r="B292" s="35"/>
      <c r="C292" s="4"/>
      <c r="D292" s="4"/>
      <c r="F292" s="39" t="s">
        <v>223</v>
      </c>
      <c r="H292" s="56">
        <v>6.6422037404045029E-4</v>
      </c>
      <c r="I292" s="56">
        <v>6.9641338247802666E-3</v>
      </c>
      <c r="J292" s="56">
        <v>6.9641338247802666E-3</v>
      </c>
      <c r="K292" s="109" t="e">
        <v>#DIV/0!</v>
      </c>
      <c r="L292" s="109" t="e">
        <v>#DIV/0!</v>
      </c>
      <c r="M292" s="56" t="e">
        <v>#DIV/0!</v>
      </c>
      <c r="N292" s="56">
        <v>0</v>
      </c>
      <c r="O292" s="56" t="e">
        <v>#DIV/0!</v>
      </c>
      <c r="P292" s="56" t="e">
        <v>#DIV/0!</v>
      </c>
      <c r="Q292" s="56" t="e">
        <v>#DIV/0!</v>
      </c>
      <c r="R292" s="56">
        <v>0</v>
      </c>
      <c r="S292" s="56">
        <v>0</v>
      </c>
      <c r="T292" s="56" t="e">
        <v>#DIV/0!</v>
      </c>
      <c r="U292" s="56" t="e">
        <v>#DIV/0!</v>
      </c>
      <c r="V292" s="56" t="e">
        <v>#DIV/0!</v>
      </c>
      <c r="W292" s="56" t="e">
        <v>#DIV/0!</v>
      </c>
      <c r="X292" s="56">
        <v>0</v>
      </c>
      <c r="Y292" s="56">
        <v>0.1090146750524109</v>
      </c>
      <c r="AA292" s="56" t="e">
        <v>#DIV/0!</v>
      </c>
      <c r="AB292" s="57"/>
      <c r="AD292" s="56" t="e">
        <v>#DIV/0!</v>
      </c>
      <c r="AE292" s="57"/>
    </row>
    <row r="293" spans="1:33" ht="6.95" customHeight="1" x14ac:dyDescent="0.2">
      <c r="C293" s="4"/>
      <c r="D293" s="4"/>
      <c r="F293" s="96"/>
      <c r="H293" s="16"/>
      <c r="I293" s="16"/>
      <c r="J293" s="16"/>
      <c r="K293" s="85"/>
      <c r="L293" s="85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AA293" s="16"/>
      <c r="AB293" s="20"/>
      <c r="AD293" s="16"/>
      <c r="AE293" s="20"/>
    </row>
    <row r="294" spans="1:33" s="40" customFormat="1" ht="18" customHeight="1" x14ac:dyDescent="0.2">
      <c r="A294" s="35"/>
      <c r="B294" s="35"/>
      <c r="C294" s="4">
        <v>-42.638888888888893</v>
      </c>
      <c r="D294" s="4">
        <v>-1.0006363347120584</v>
      </c>
      <c r="E294" s="8"/>
      <c r="F294" s="100" t="s">
        <v>279</v>
      </c>
      <c r="G294" s="8"/>
      <c r="H294" s="62">
        <v>-118.86800000000001</v>
      </c>
      <c r="I294" s="62">
        <v>27.323999999999998</v>
      </c>
      <c r="J294" s="62">
        <v>27.323999999999998</v>
      </c>
      <c r="K294" s="108">
        <v>-0.14399999999999999</v>
      </c>
      <c r="L294" s="108">
        <v>0</v>
      </c>
      <c r="M294" s="62">
        <v>0.248000000000001</v>
      </c>
      <c r="N294" s="62">
        <v>-0.8660000000000011</v>
      </c>
      <c r="O294" s="62">
        <v>-3.1699999999999995</v>
      </c>
      <c r="P294" s="62">
        <v>-0.37500000000000028</v>
      </c>
      <c r="Q294" s="62">
        <v>0.22600000000000042</v>
      </c>
      <c r="R294" s="62">
        <v>-1.0800000000000005</v>
      </c>
      <c r="S294" s="62">
        <v>-2.200000000000002E-2</v>
      </c>
      <c r="T294" s="62">
        <v>-0.2629999999999994</v>
      </c>
      <c r="U294" s="62">
        <v>-0.69300000000000006</v>
      </c>
      <c r="V294" s="62">
        <v>0.73399999999999965</v>
      </c>
      <c r="W294" s="62">
        <v>-0.59400000000000031</v>
      </c>
      <c r="X294" s="62">
        <v>-0.43100000000000005</v>
      </c>
      <c r="Y294" s="62">
        <v>-6.2860000000000005</v>
      </c>
      <c r="Z294" s="8"/>
      <c r="AA294" s="62">
        <v>-0.14399999999999999</v>
      </c>
      <c r="AB294" s="60">
        <v>-6.14</v>
      </c>
      <c r="AC294" s="8"/>
      <c r="AD294" s="62">
        <v>0</v>
      </c>
      <c r="AE294" s="60">
        <v>-6.29</v>
      </c>
      <c r="AG294" s="41"/>
    </row>
    <row r="295" spans="1:33" ht="12.95" customHeight="1" x14ac:dyDescent="0.2">
      <c r="A295" s="35"/>
      <c r="B295" s="35"/>
      <c r="C295" s="4"/>
      <c r="D295" s="4"/>
      <c r="F295" s="39" t="s">
        <v>223</v>
      </c>
      <c r="H295" s="56">
        <v>0.25718093622618976</v>
      </c>
      <c r="I295" s="56">
        <v>-0.24209668273320101</v>
      </c>
      <c r="J295" s="56">
        <v>-0.24209668273320101</v>
      </c>
      <c r="K295" s="109" t="e">
        <v>#DIV/0!</v>
      </c>
      <c r="L295" s="109" t="e">
        <v>#DIV/0!</v>
      </c>
      <c r="M295" s="56" t="e">
        <v>#DIV/0!</v>
      </c>
      <c r="N295" s="56">
        <v>1.7354709418837697</v>
      </c>
      <c r="O295" s="56" t="e">
        <v>#DIV/0!</v>
      </c>
      <c r="P295" s="56" t="e">
        <v>#DIV/0!</v>
      </c>
      <c r="Q295" s="56" t="e">
        <v>#DIV/0!</v>
      </c>
      <c r="R295" s="56">
        <v>1.2872467222884392</v>
      </c>
      <c r="S295" s="56">
        <v>-0.13173652694610788</v>
      </c>
      <c r="T295" s="56" t="e">
        <v>#DIV/0!</v>
      </c>
      <c r="U295" s="56" t="e">
        <v>#DIV/0!</v>
      </c>
      <c r="V295" s="56" t="e">
        <v>#DIV/0!</v>
      </c>
      <c r="W295" s="56" t="e">
        <v>#DIV/0!</v>
      </c>
      <c r="X295" s="56">
        <v>1.6576923076923078</v>
      </c>
      <c r="Y295" s="56">
        <v>4.3927323549965065</v>
      </c>
      <c r="AA295" s="56" t="e">
        <v>#DIV/0!</v>
      </c>
      <c r="AB295" s="57"/>
      <c r="AD295" s="56" t="e">
        <v>#DIV/0!</v>
      </c>
      <c r="AE295" s="57"/>
    </row>
    <row r="296" spans="1:33" ht="6.95" customHeight="1" x14ac:dyDescent="0.2">
      <c r="C296" s="4"/>
      <c r="D296" s="4"/>
      <c r="F296" s="96"/>
      <c r="H296" s="16"/>
      <c r="I296" s="16"/>
      <c r="J296" s="16"/>
      <c r="K296" s="85"/>
      <c r="L296" s="85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AA296" s="16"/>
      <c r="AB296" s="20"/>
      <c r="AD296" s="16"/>
      <c r="AE296" s="20"/>
    </row>
    <row r="297" spans="1:33" s="40" customFormat="1" ht="18" customHeight="1" x14ac:dyDescent="0.2">
      <c r="A297" s="35"/>
      <c r="B297" s="35"/>
      <c r="C297" s="4">
        <v>-47.12</v>
      </c>
      <c r="D297" s="4">
        <v>-0.99991688138974311</v>
      </c>
      <c r="E297" s="8"/>
      <c r="F297" s="101" t="s">
        <v>23</v>
      </c>
      <c r="G297" s="8"/>
      <c r="H297" s="77">
        <v>-96.155999999999963</v>
      </c>
      <c r="I297" s="77">
        <v>-91.715999999999994</v>
      </c>
      <c r="J297" s="77">
        <v>-91.715999999999994</v>
      </c>
      <c r="K297" s="114">
        <v>-0.25</v>
      </c>
      <c r="L297" s="114">
        <v>0</v>
      </c>
      <c r="M297" s="77">
        <v>3.0810000000000008</v>
      </c>
      <c r="N297" s="77">
        <v>-10.413</v>
      </c>
      <c r="O297" s="77">
        <v>-3.2579999999999996</v>
      </c>
      <c r="P297" s="77">
        <v>-0.41500000000000026</v>
      </c>
      <c r="Q297" s="77">
        <v>0.17900000000000041</v>
      </c>
      <c r="R297" s="77">
        <v>-0.27600000000000047</v>
      </c>
      <c r="S297" s="77">
        <v>-0.41100000000000003</v>
      </c>
      <c r="T297" s="77">
        <v>-0.31899999999999945</v>
      </c>
      <c r="U297" s="77">
        <v>-0.72900000000000009</v>
      </c>
      <c r="V297" s="77">
        <v>0.69699999999999962</v>
      </c>
      <c r="W297" s="77">
        <v>-0.62600000000000033</v>
      </c>
      <c r="X297" s="77">
        <v>0.45899999999999985</v>
      </c>
      <c r="Y297" s="77">
        <v>-12.031000000000001</v>
      </c>
      <c r="Z297" s="8"/>
      <c r="AA297" s="77">
        <v>-0.25</v>
      </c>
      <c r="AB297" s="60">
        <v>-11.78</v>
      </c>
      <c r="AC297" s="8"/>
      <c r="AD297" s="77">
        <v>0</v>
      </c>
      <c r="AE297" s="60">
        <v>-12.03</v>
      </c>
    </row>
    <row r="298" spans="1:33" ht="12.95" customHeight="1" x14ac:dyDescent="0.2">
      <c r="A298" s="35"/>
      <c r="B298" s="35"/>
      <c r="C298" s="4"/>
      <c r="D298" s="4"/>
      <c r="F298" s="39" t="s">
        <v>223</v>
      </c>
      <c r="H298" s="56">
        <v>-0.20804161005287791</v>
      </c>
      <c r="I298" s="56">
        <v>-0.81262404309611558</v>
      </c>
      <c r="J298" s="56">
        <v>-0.81262404309611558</v>
      </c>
      <c r="K298" s="109" t="e">
        <v>#DIV/0!</v>
      </c>
      <c r="L298" s="109" t="e">
        <v>#DIV/0!</v>
      </c>
      <c r="M298" s="56" t="e">
        <v>#DIV/0!</v>
      </c>
      <c r="N298" s="56">
        <v>-20.867735470941884</v>
      </c>
      <c r="O298" s="56" t="e">
        <v>#DIV/0!</v>
      </c>
      <c r="P298" s="56" t="e">
        <v>#DIV/0!</v>
      </c>
      <c r="Q298" s="56" t="e">
        <v>#DIV/0!</v>
      </c>
      <c r="R298" s="56">
        <v>-0.32896305125149039</v>
      </c>
      <c r="S298" s="56">
        <v>2.4610778443113768</v>
      </c>
      <c r="T298" s="56" t="e">
        <v>#DIV/0!</v>
      </c>
      <c r="U298" s="56" t="e">
        <v>#DIV/0!</v>
      </c>
      <c r="V298" s="56" t="e">
        <v>#DIV/0!</v>
      </c>
      <c r="W298" s="56" t="e">
        <v>#DIV/0!</v>
      </c>
      <c r="X298" s="56">
        <v>1.7653846153846147</v>
      </c>
      <c r="Y298" s="56">
        <v>-8.4074074074074083</v>
      </c>
      <c r="AA298" s="56" t="e">
        <v>#DIV/0!</v>
      </c>
      <c r="AB298" s="57"/>
      <c r="AD298" s="56" t="e">
        <v>#DIV/0!</v>
      </c>
      <c r="AE298" s="57"/>
    </row>
    <row r="299" spans="1:33" s="11" customFormat="1" ht="6.75" customHeight="1" x14ac:dyDescent="0.2">
      <c r="A299" s="8"/>
      <c r="B299" s="8"/>
      <c r="C299" s="8"/>
      <c r="D299" s="8"/>
      <c r="AF299" s="8"/>
      <c r="AG299" s="8"/>
    </row>
    <row r="300" spans="1:33" s="11" customFormat="1" ht="18" customHeight="1" x14ac:dyDescent="0.2">
      <c r="A300" s="276" t="s">
        <v>92</v>
      </c>
      <c r="B300" s="276" t="s">
        <v>17</v>
      </c>
      <c r="C300" s="253"/>
      <c r="D300" s="253"/>
      <c r="F300" s="101" t="s">
        <v>455</v>
      </c>
      <c r="G300" s="253"/>
      <c r="H300" s="77">
        <v>-0.95699999999999996</v>
      </c>
      <c r="I300" s="77">
        <v>-0.377</v>
      </c>
      <c r="J300" s="77">
        <v>-0.377</v>
      </c>
      <c r="K300" s="114">
        <v>-0.25</v>
      </c>
      <c r="L300" s="114">
        <v>0</v>
      </c>
      <c r="M300" s="77">
        <v>-1.2E-2</v>
      </c>
      <c r="N300" s="77">
        <v>-1.0999999999999999E-2</v>
      </c>
      <c r="O300" s="77">
        <v>-1.2999999999999998E-2</v>
      </c>
      <c r="P300" s="77">
        <v>-1.2000000000000004E-2</v>
      </c>
      <c r="Q300" s="77">
        <v>-1.1999999999999997E-2</v>
      </c>
      <c r="R300" s="77">
        <v>-1.1999999999999997E-2</v>
      </c>
      <c r="S300" s="77">
        <v>-1.2000000000000011E-2</v>
      </c>
      <c r="T300" s="77">
        <v>-1.1999999999999997E-2</v>
      </c>
      <c r="U300" s="77">
        <v>-1.1999999999999997E-2</v>
      </c>
      <c r="V300" s="77">
        <v>0</v>
      </c>
      <c r="W300" s="77">
        <v>0</v>
      </c>
      <c r="X300" s="77">
        <v>0</v>
      </c>
      <c r="Y300" s="77">
        <v>-0.108</v>
      </c>
      <c r="Z300" s="253"/>
      <c r="AA300" s="77">
        <v>-0.25</v>
      </c>
      <c r="AB300" s="256">
        <v>0.14000000000000001</v>
      </c>
      <c r="AD300" s="77">
        <v>0</v>
      </c>
      <c r="AE300" s="256">
        <v>-0.11</v>
      </c>
      <c r="AF300" s="253"/>
      <c r="AG300" s="253"/>
    </row>
    <row r="301" spans="1:33" s="11" customFormat="1" ht="6.75" customHeight="1" x14ac:dyDescent="0.2">
      <c r="A301" s="253"/>
      <c r="B301" s="253"/>
      <c r="C301" s="253"/>
      <c r="D301" s="253"/>
      <c r="AF301" s="253"/>
      <c r="AG301" s="253"/>
    </row>
    <row r="302" spans="1:33" s="11" customFormat="1" ht="18" customHeight="1" x14ac:dyDescent="0.2">
      <c r="A302" s="276" t="s">
        <v>457</v>
      </c>
      <c r="B302" s="276" t="s">
        <v>17</v>
      </c>
      <c r="C302" s="253"/>
      <c r="D302" s="253"/>
      <c r="F302" s="101" t="s">
        <v>456</v>
      </c>
      <c r="G302" s="253"/>
      <c r="H302" s="77">
        <v>-95.198999999999899</v>
      </c>
      <c r="I302" s="77">
        <v>-91.209000000000003</v>
      </c>
      <c r="J302" s="77">
        <v>-91.209000000000003</v>
      </c>
      <c r="K302" s="114">
        <v>0</v>
      </c>
      <c r="L302" s="114">
        <v>0</v>
      </c>
      <c r="M302" s="77">
        <v>3.093</v>
      </c>
      <c r="N302" s="77">
        <v>-10.402000000000001</v>
      </c>
      <c r="O302" s="77">
        <v>-3.2449999999999992</v>
      </c>
      <c r="P302" s="77">
        <v>-0.40300000000000047</v>
      </c>
      <c r="Q302" s="77">
        <v>0.19100000000000072</v>
      </c>
      <c r="R302" s="77">
        <v>-0.26399999999999935</v>
      </c>
      <c r="S302" s="77">
        <v>-0.39900000000000091</v>
      </c>
      <c r="T302" s="77">
        <v>-0.30700000000000038</v>
      </c>
      <c r="U302" s="77">
        <v>-0.71699999999999875</v>
      </c>
      <c r="V302" s="77">
        <v>0.85299999999999976</v>
      </c>
      <c r="W302" s="77">
        <v>-0.62600000000000122</v>
      </c>
      <c r="X302" s="77">
        <v>0.45900000000000141</v>
      </c>
      <c r="Y302" s="77">
        <v>-11.766999999999999</v>
      </c>
      <c r="Z302" s="253"/>
      <c r="AA302" s="77">
        <v>0</v>
      </c>
      <c r="AB302" s="256">
        <v>-11.77</v>
      </c>
      <c r="AD302" s="77">
        <v>0</v>
      </c>
      <c r="AE302" s="256">
        <v>-11.77</v>
      </c>
      <c r="AF302" s="253"/>
      <c r="AG302" s="253"/>
    </row>
    <row r="303" spans="1:33" s="11" customFormat="1" x14ac:dyDescent="0.2">
      <c r="A303" s="253"/>
      <c r="B303" s="253"/>
      <c r="C303" s="253"/>
      <c r="D303" s="253"/>
      <c r="AF303" s="253"/>
      <c r="AG303" s="253"/>
    </row>
    <row r="304" spans="1:33" s="11" customFormat="1" x14ac:dyDescent="0.2">
      <c r="A304" s="8"/>
      <c r="B304" s="8"/>
      <c r="C304" s="8"/>
      <c r="D304" s="8"/>
      <c r="AF304" s="8"/>
      <c r="AG304" s="8"/>
    </row>
    <row r="305" spans="1:33" s="11" customFormat="1" x14ac:dyDescent="0.2">
      <c r="A305" s="8"/>
      <c r="B305" s="8"/>
      <c r="C305" s="8"/>
      <c r="D305" s="8"/>
      <c r="AF305" s="8"/>
      <c r="AG305" s="8"/>
    </row>
    <row r="306" spans="1:33" s="11" customFormat="1" x14ac:dyDescent="0.2">
      <c r="A306" s="8"/>
      <c r="B306" s="8"/>
      <c r="C306" s="8"/>
      <c r="D306" s="8"/>
      <c r="AF306" s="8"/>
      <c r="AG306" s="8"/>
    </row>
    <row r="307" spans="1:33" s="11" customFormat="1" x14ac:dyDescent="0.2">
      <c r="A307" s="8"/>
      <c r="B307" s="8"/>
      <c r="C307" s="8"/>
      <c r="D307" s="8"/>
      <c r="AF307" s="8"/>
      <c r="AG307" s="8"/>
    </row>
    <row r="308" spans="1:33" s="11" customFormat="1" x14ac:dyDescent="0.2">
      <c r="A308" s="8"/>
      <c r="B308" s="8"/>
      <c r="C308" s="8"/>
      <c r="D308" s="8"/>
      <c r="AF308" s="8"/>
      <c r="AG308" s="8"/>
    </row>
    <row r="309" spans="1:33" s="11" customFormat="1" x14ac:dyDescent="0.2">
      <c r="A309" s="8"/>
      <c r="B309" s="8"/>
      <c r="C309" s="8"/>
      <c r="D309" s="8"/>
      <c r="AF309" s="8"/>
      <c r="AG309" s="8"/>
    </row>
    <row r="310" spans="1:33" s="11" customFormat="1" x14ac:dyDescent="0.2">
      <c r="A310" s="8"/>
      <c r="B310" s="8"/>
      <c r="C310" s="8"/>
      <c r="D310" s="8"/>
      <c r="AF310" s="8"/>
      <c r="AG310" s="8"/>
    </row>
    <row r="311" spans="1:33" s="11" customFormat="1" x14ac:dyDescent="0.2">
      <c r="A311" s="8"/>
      <c r="B311" s="8"/>
      <c r="C311" s="8"/>
      <c r="D311" s="8"/>
      <c r="AF311" s="8"/>
      <c r="AG311" s="8"/>
    </row>
    <row r="312" spans="1:33" s="11" customFormat="1" x14ac:dyDescent="0.2">
      <c r="A312" s="8"/>
      <c r="B312" s="8"/>
      <c r="C312" s="8"/>
      <c r="D312" s="8"/>
      <c r="AF312" s="8"/>
      <c r="AG312" s="8"/>
    </row>
    <row r="313" spans="1:33" s="11" customFormat="1" x14ac:dyDescent="0.2">
      <c r="A313" s="8"/>
      <c r="B313" s="8"/>
      <c r="C313" s="8"/>
      <c r="D313" s="8"/>
      <c r="AF313" s="8"/>
      <c r="AG313" s="8"/>
    </row>
    <row r="314" spans="1:33" s="11" customFormat="1" x14ac:dyDescent="0.2">
      <c r="A314" s="8"/>
      <c r="B314" s="8"/>
      <c r="C314" s="8"/>
      <c r="D314" s="8"/>
      <c r="AF314" s="8"/>
      <c r="AG314" s="8"/>
    </row>
    <row r="315" spans="1:33" s="11" customFormat="1" x14ac:dyDescent="0.2">
      <c r="A315" s="8"/>
      <c r="B315" s="8"/>
      <c r="C315" s="8"/>
      <c r="D315" s="8"/>
      <c r="AF315" s="8"/>
      <c r="AG315" s="8"/>
    </row>
    <row r="316" spans="1:33" s="11" customFormat="1" x14ac:dyDescent="0.2">
      <c r="A316" s="8"/>
      <c r="B316" s="8"/>
      <c r="C316" s="8"/>
      <c r="D316" s="8"/>
      <c r="AF316" s="8"/>
      <c r="AG316" s="8"/>
    </row>
    <row r="317" spans="1:33" s="11" customFormat="1" x14ac:dyDescent="0.2">
      <c r="A317" s="8"/>
      <c r="B317" s="8"/>
      <c r="C317" s="8"/>
      <c r="D317" s="8"/>
      <c r="AF317" s="8"/>
      <c r="AG317" s="8"/>
    </row>
    <row r="318" spans="1:33" s="11" customFormat="1" x14ac:dyDescent="0.2">
      <c r="A318" s="8"/>
      <c r="B318" s="8"/>
      <c r="C318" s="8"/>
      <c r="D318" s="8"/>
      <c r="AF318" s="8"/>
      <c r="AG318" s="8"/>
    </row>
    <row r="319" spans="1:33" s="11" customFormat="1" x14ac:dyDescent="0.2">
      <c r="A319" s="8"/>
      <c r="B319" s="8"/>
      <c r="C319" s="8"/>
      <c r="D319" s="8"/>
      <c r="AF319" s="8"/>
      <c r="AG319" s="8"/>
    </row>
    <row r="320" spans="1:33" s="11" customFormat="1" x14ac:dyDescent="0.2">
      <c r="A320" s="8"/>
      <c r="B320" s="8"/>
      <c r="C320" s="8"/>
      <c r="D320" s="8"/>
      <c r="AF320" s="8"/>
      <c r="AG320" s="8"/>
    </row>
    <row r="321" spans="1:33" s="11" customFormat="1" x14ac:dyDescent="0.2">
      <c r="A321" s="8"/>
      <c r="B321" s="8"/>
      <c r="C321" s="8"/>
      <c r="D321" s="8"/>
      <c r="AF321" s="8"/>
      <c r="AG321" s="8"/>
    </row>
    <row r="322" spans="1:33" s="11" customFormat="1" x14ac:dyDescent="0.2">
      <c r="A322" s="8"/>
      <c r="B322" s="8"/>
      <c r="C322" s="8"/>
      <c r="D322" s="8"/>
      <c r="AF322" s="8"/>
      <c r="AG322" s="8"/>
    </row>
    <row r="323" spans="1:33" s="11" customFormat="1" x14ac:dyDescent="0.2">
      <c r="A323" s="8"/>
      <c r="B323" s="8"/>
      <c r="C323" s="8"/>
      <c r="D323" s="8"/>
      <c r="AF323" s="8"/>
      <c r="AG323" s="8"/>
    </row>
    <row r="324" spans="1:33" s="11" customFormat="1" x14ac:dyDescent="0.2">
      <c r="A324" s="8"/>
      <c r="B324" s="8"/>
      <c r="C324" s="8"/>
      <c r="D324" s="8"/>
      <c r="AF324" s="8"/>
      <c r="AG324" s="8"/>
    </row>
    <row r="325" spans="1:33" s="11" customFormat="1" x14ac:dyDescent="0.2">
      <c r="A325" s="8"/>
      <c r="B325" s="8"/>
      <c r="C325" s="8"/>
      <c r="D325" s="8"/>
      <c r="AF325" s="8"/>
      <c r="AG325" s="8"/>
    </row>
    <row r="326" spans="1:33" s="11" customFormat="1" x14ac:dyDescent="0.2">
      <c r="A326" s="8"/>
      <c r="B326" s="8"/>
      <c r="C326" s="8"/>
      <c r="D326" s="8"/>
      <c r="AF326" s="8"/>
      <c r="AG326" s="8"/>
    </row>
    <row r="327" spans="1:33" s="11" customFormat="1" x14ac:dyDescent="0.2">
      <c r="A327" s="8"/>
      <c r="B327" s="8"/>
      <c r="C327" s="8"/>
      <c r="D327" s="8"/>
      <c r="AF327" s="8"/>
      <c r="AG327" s="8"/>
    </row>
    <row r="328" spans="1:33" s="11" customFormat="1" x14ac:dyDescent="0.2">
      <c r="A328" s="8"/>
      <c r="B328" s="8"/>
      <c r="C328" s="8"/>
      <c r="D328" s="8"/>
      <c r="AF328" s="8"/>
      <c r="AG328" s="8"/>
    </row>
    <row r="329" spans="1:33" s="11" customFormat="1" x14ac:dyDescent="0.2">
      <c r="A329" s="8"/>
      <c r="B329" s="8"/>
      <c r="C329" s="8"/>
      <c r="D329" s="8"/>
      <c r="AF329" s="8"/>
      <c r="AG329" s="8"/>
    </row>
    <row r="330" spans="1:33" s="11" customFormat="1" x14ac:dyDescent="0.2">
      <c r="A330" s="8"/>
      <c r="B330" s="8"/>
      <c r="C330" s="8"/>
      <c r="D330" s="8"/>
      <c r="AF330" s="8"/>
      <c r="AG330" s="8"/>
    </row>
    <row r="331" spans="1:33" s="11" customFormat="1" x14ac:dyDescent="0.2">
      <c r="A331" s="8"/>
      <c r="B331" s="8"/>
      <c r="C331" s="8"/>
      <c r="D331" s="8"/>
      <c r="AF331" s="8"/>
      <c r="AG331" s="8"/>
    </row>
    <row r="332" spans="1:33" s="11" customFormat="1" x14ac:dyDescent="0.2">
      <c r="A332" s="8"/>
      <c r="B332" s="8"/>
      <c r="C332" s="8"/>
      <c r="D332" s="8"/>
      <c r="AF332" s="8"/>
      <c r="AG332" s="8"/>
    </row>
    <row r="333" spans="1:33" s="11" customFormat="1" x14ac:dyDescent="0.2">
      <c r="A333" s="8"/>
      <c r="B333" s="8"/>
      <c r="C333" s="8"/>
      <c r="D333" s="8"/>
      <c r="AF333" s="8"/>
      <c r="AG333" s="8"/>
    </row>
    <row r="334" spans="1:33" s="11" customFormat="1" x14ac:dyDescent="0.2">
      <c r="A334" s="8"/>
      <c r="B334" s="8"/>
      <c r="C334" s="8"/>
      <c r="D334" s="8"/>
      <c r="AF334" s="8"/>
      <c r="AG334" s="8"/>
    </row>
    <row r="335" spans="1:33" s="11" customFormat="1" x14ac:dyDescent="0.2">
      <c r="A335" s="8"/>
      <c r="B335" s="8"/>
      <c r="C335" s="8"/>
      <c r="D335" s="8"/>
      <c r="AF335" s="8"/>
      <c r="AG335" s="8"/>
    </row>
    <row r="336" spans="1:33" s="11" customFormat="1" x14ac:dyDescent="0.2">
      <c r="A336" s="8"/>
      <c r="B336" s="8"/>
      <c r="C336" s="8"/>
      <c r="D336" s="8"/>
      <c r="AF336" s="8"/>
      <c r="AG336" s="8"/>
    </row>
    <row r="337" spans="1:33" s="11" customFormat="1" x14ac:dyDescent="0.2">
      <c r="A337" s="8"/>
      <c r="B337" s="8"/>
      <c r="C337" s="8"/>
      <c r="D337" s="8"/>
      <c r="AF337" s="8"/>
      <c r="AG337" s="8"/>
    </row>
    <row r="338" spans="1:33" s="11" customFormat="1" x14ac:dyDescent="0.2">
      <c r="A338" s="8"/>
      <c r="B338" s="8"/>
      <c r="C338" s="8"/>
      <c r="D338" s="8"/>
      <c r="AF338" s="8"/>
      <c r="AG338" s="8"/>
    </row>
    <row r="339" spans="1:33" s="11" customFormat="1" x14ac:dyDescent="0.2">
      <c r="A339" s="8"/>
      <c r="B339" s="8"/>
      <c r="C339" s="8"/>
      <c r="D339" s="8"/>
      <c r="AF339" s="8"/>
      <c r="AG339" s="8"/>
    </row>
    <row r="340" spans="1:33" s="11" customFormat="1" x14ac:dyDescent="0.2">
      <c r="A340" s="8"/>
      <c r="B340" s="8"/>
      <c r="C340" s="8"/>
      <c r="D340" s="8"/>
      <c r="AF340" s="8"/>
      <c r="AG340" s="8"/>
    </row>
    <row r="341" spans="1:33" s="11" customFormat="1" x14ac:dyDescent="0.2">
      <c r="A341" s="8"/>
      <c r="B341" s="8"/>
      <c r="C341" s="8"/>
      <c r="D341" s="8"/>
      <c r="AF341" s="8"/>
      <c r="AG341" s="8"/>
    </row>
    <row r="342" spans="1:33" s="11" customFormat="1" x14ac:dyDescent="0.2">
      <c r="A342" s="8"/>
      <c r="B342" s="8"/>
      <c r="C342" s="8"/>
      <c r="D342" s="8"/>
      <c r="AF342" s="8"/>
      <c r="AG342" s="8"/>
    </row>
    <row r="343" spans="1:33" s="11" customFormat="1" x14ac:dyDescent="0.2">
      <c r="A343" s="8"/>
      <c r="B343" s="8"/>
      <c r="C343" s="8"/>
      <c r="D343" s="8"/>
      <c r="AF343" s="8"/>
      <c r="AG343" s="8"/>
    </row>
    <row r="344" spans="1:33" s="11" customFormat="1" x14ac:dyDescent="0.2">
      <c r="A344" s="8"/>
      <c r="B344" s="8"/>
      <c r="C344" s="8"/>
      <c r="D344" s="8"/>
      <c r="AF344" s="8"/>
      <c r="AG344" s="8"/>
    </row>
    <row r="345" spans="1:33" s="11" customFormat="1" x14ac:dyDescent="0.2">
      <c r="A345" s="8"/>
      <c r="B345" s="8"/>
      <c r="C345" s="8"/>
      <c r="D345" s="8"/>
      <c r="AF345" s="8"/>
      <c r="AG345" s="8"/>
    </row>
    <row r="346" spans="1:33" s="11" customFormat="1" x14ac:dyDescent="0.2">
      <c r="A346" s="8"/>
      <c r="B346" s="8"/>
      <c r="C346" s="8"/>
      <c r="D346" s="8"/>
      <c r="AF346" s="8"/>
      <c r="AG346" s="8"/>
    </row>
    <row r="347" spans="1:33" s="11" customFormat="1" x14ac:dyDescent="0.2">
      <c r="A347" s="8"/>
      <c r="B347" s="8"/>
      <c r="C347" s="8"/>
      <c r="D347" s="8"/>
      <c r="AF347" s="8"/>
      <c r="AG347" s="8"/>
    </row>
    <row r="350" spans="1:33" ht="18" customHeight="1" x14ac:dyDescent="0.2">
      <c r="A350" s="30" t="s">
        <v>287</v>
      </c>
      <c r="B350" s="30" t="s">
        <v>17</v>
      </c>
      <c r="C350" s="4">
        <v>0</v>
      </c>
      <c r="D350" s="4">
        <v>0</v>
      </c>
      <c r="F350" s="106" t="s">
        <v>288</v>
      </c>
      <c r="H350" s="61">
        <v>0</v>
      </c>
      <c r="I350" s="61">
        <v>0</v>
      </c>
      <c r="J350" s="61">
        <v>0</v>
      </c>
      <c r="K350" s="86">
        <v>0</v>
      </c>
      <c r="L350" s="86">
        <v>0</v>
      </c>
      <c r="M350" s="61">
        <v>0</v>
      </c>
      <c r="N350" s="61">
        <v>0</v>
      </c>
      <c r="O350" s="61">
        <v>0</v>
      </c>
      <c r="P350" s="61">
        <v>0</v>
      </c>
      <c r="Q350" s="61">
        <v>0</v>
      </c>
      <c r="R350" s="61">
        <v>0</v>
      </c>
      <c r="S350" s="61">
        <v>0</v>
      </c>
      <c r="T350" s="61">
        <v>0</v>
      </c>
      <c r="U350" s="61">
        <v>0</v>
      </c>
      <c r="V350" s="61">
        <v>0</v>
      </c>
      <c r="W350" s="61">
        <v>0</v>
      </c>
      <c r="X350" s="61">
        <v>0</v>
      </c>
      <c r="Y350" s="61">
        <v>0</v>
      </c>
      <c r="AA350" s="61">
        <v>0</v>
      </c>
      <c r="AB350" s="20"/>
      <c r="AD350" s="61">
        <v>0</v>
      </c>
      <c r="AE350" s="20"/>
    </row>
    <row r="351" spans="1:33" ht="18" hidden="1" customHeight="1" outlineLevel="1" x14ac:dyDescent="0.2">
      <c r="A351" s="30" t="s">
        <v>291</v>
      </c>
      <c r="B351" s="30" t="s">
        <v>17</v>
      </c>
      <c r="C351" s="4">
        <v>0</v>
      </c>
      <c r="D351" s="4">
        <v>0</v>
      </c>
      <c r="F351" s="106" t="s">
        <v>290</v>
      </c>
      <c r="H351" s="61">
        <v>103.78100000000001</v>
      </c>
      <c r="I351" s="61">
        <v>71.260000000000005</v>
      </c>
      <c r="J351" s="61">
        <v>71.260000000000005</v>
      </c>
      <c r="K351" s="86">
        <v>0</v>
      </c>
      <c r="L351" s="86">
        <v>0</v>
      </c>
      <c r="M351" s="61">
        <v>0</v>
      </c>
      <c r="N351" s="61">
        <v>0</v>
      </c>
      <c r="O351" s="61">
        <v>0</v>
      </c>
      <c r="P351" s="61">
        <v>0</v>
      </c>
      <c r="Q351" s="61">
        <v>0</v>
      </c>
      <c r="R351" s="61">
        <v>0</v>
      </c>
      <c r="S351" s="61">
        <v>0</v>
      </c>
      <c r="T351" s="61">
        <v>0</v>
      </c>
      <c r="U351" s="61">
        <v>0</v>
      </c>
      <c r="V351" s="61">
        <v>0</v>
      </c>
      <c r="W351" s="61">
        <v>0</v>
      </c>
      <c r="X351" s="61">
        <v>0</v>
      </c>
      <c r="Y351" s="61">
        <v>0</v>
      </c>
      <c r="AA351" s="61">
        <v>0</v>
      </c>
      <c r="AB351" s="20"/>
      <c r="AD351" s="61">
        <v>0</v>
      </c>
      <c r="AE351" s="20"/>
    </row>
    <row r="352" spans="1:33" ht="18" customHeight="1" collapsed="1" x14ac:dyDescent="0.2">
      <c r="A352" s="30" t="s">
        <v>287</v>
      </c>
      <c r="B352" s="30" t="s">
        <v>17</v>
      </c>
      <c r="C352" s="4">
        <v>0</v>
      </c>
      <c r="D352" s="4">
        <v>0</v>
      </c>
      <c r="F352" s="107" t="s">
        <v>289</v>
      </c>
      <c r="H352" s="78">
        <v>0</v>
      </c>
      <c r="I352" s="78">
        <v>0</v>
      </c>
      <c r="J352" s="78">
        <v>0</v>
      </c>
      <c r="K352" s="87">
        <v>0</v>
      </c>
      <c r="L352" s="87">
        <v>0</v>
      </c>
      <c r="M352" s="78">
        <v>0</v>
      </c>
      <c r="N352" s="78">
        <v>0</v>
      </c>
      <c r="O352" s="78">
        <v>0</v>
      </c>
      <c r="P352" s="78">
        <v>0</v>
      </c>
      <c r="Q352" s="78">
        <v>0</v>
      </c>
      <c r="R352" s="78">
        <v>0</v>
      </c>
      <c r="S352" s="78">
        <v>0</v>
      </c>
      <c r="T352" s="78">
        <v>0</v>
      </c>
      <c r="U352" s="78">
        <v>0</v>
      </c>
      <c r="V352" s="78">
        <v>0</v>
      </c>
      <c r="W352" s="78">
        <v>0</v>
      </c>
      <c r="X352" s="78">
        <v>0</v>
      </c>
      <c r="Y352" s="78">
        <v>0</v>
      </c>
      <c r="AA352" s="78">
        <v>0</v>
      </c>
      <c r="AB352" s="20"/>
      <c r="AD352" s="78">
        <v>0</v>
      </c>
      <c r="AE352" s="20"/>
    </row>
    <row r="353" spans="1:31" ht="15" x14ac:dyDescent="0.2">
      <c r="A353" s="4"/>
      <c r="B353" s="4"/>
      <c r="C353" s="4"/>
      <c r="D353" s="4"/>
      <c r="F353" s="96"/>
      <c r="H353" s="16"/>
      <c r="I353" s="16"/>
      <c r="J353" s="16"/>
      <c r="K353" s="85"/>
      <c r="L353" s="85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AA353" s="16"/>
      <c r="AB353" s="20"/>
      <c r="AD353" s="16"/>
      <c r="AE353" s="20"/>
    </row>
    <row r="354" spans="1:31" ht="18" customHeight="1" x14ac:dyDescent="0.2">
      <c r="A354" s="30" t="s">
        <v>293</v>
      </c>
      <c r="B354" s="30" t="s">
        <v>17</v>
      </c>
      <c r="C354" s="4">
        <v>0</v>
      </c>
      <c r="D354" s="4">
        <v>0</v>
      </c>
      <c r="F354" s="106" t="s">
        <v>357</v>
      </c>
      <c r="H354" s="61">
        <v>0</v>
      </c>
      <c r="I354" s="61">
        <v>0</v>
      </c>
      <c r="J354" s="61">
        <v>0</v>
      </c>
      <c r="K354" s="88"/>
      <c r="L354" s="88"/>
      <c r="M354" s="61">
        <v>0</v>
      </c>
      <c r="N354" s="61">
        <v>0</v>
      </c>
      <c r="O354" s="61">
        <v>0</v>
      </c>
      <c r="P354" s="61">
        <v>0</v>
      </c>
      <c r="Q354" s="61">
        <v>0</v>
      </c>
      <c r="R354" s="61">
        <v>0</v>
      </c>
      <c r="S354" s="61">
        <v>0</v>
      </c>
      <c r="T354" s="61">
        <v>0</v>
      </c>
      <c r="U354" s="61">
        <v>0</v>
      </c>
      <c r="V354" s="61">
        <v>0</v>
      </c>
      <c r="W354" s="61">
        <v>0</v>
      </c>
      <c r="X354" s="61">
        <v>0</v>
      </c>
      <c r="Y354" s="61">
        <v>0</v>
      </c>
      <c r="AA354" s="16"/>
      <c r="AB354" s="20"/>
      <c r="AD354" s="16"/>
      <c r="AE354" s="20"/>
    </row>
    <row r="355" spans="1:31" ht="18" customHeight="1" x14ac:dyDescent="0.2">
      <c r="A355" s="30" t="s">
        <v>294</v>
      </c>
      <c r="B355" s="30" t="s">
        <v>17</v>
      </c>
      <c r="C355" s="4">
        <v>0</v>
      </c>
      <c r="D355" s="4">
        <v>0</v>
      </c>
      <c r="F355" s="106" t="s">
        <v>358</v>
      </c>
      <c r="H355" s="61">
        <v>0</v>
      </c>
      <c r="I355" s="61">
        <v>0</v>
      </c>
      <c r="J355" s="61">
        <v>0</v>
      </c>
      <c r="K355" s="88"/>
      <c r="L355" s="88"/>
      <c r="M355" s="61">
        <v>0</v>
      </c>
      <c r="N355" s="61">
        <v>0</v>
      </c>
      <c r="O355" s="61">
        <v>0</v>
      </c>
      <c r="P355" s="61">
        <v>0</v>
      </c>
      <c r="Q355" s="61">
        <v>0</v>
      </c>
      <c r="R355" s="61">
        <v>0</v>
      </c>
      <c r="S355" s="61">
        <v>0</v>
      </c>
      <c r="T355" s="61">
        <v>0</v>
      </c>
      <c r="U355" s="61">
        <v>0</v>
      </c>
      <c r="V355" s="61">
        <v>0</v>
      </c>
      <c r="W355" s="61">
        <v>0</v>
      </c>
      <c r="X355" s="61">
        <v>0</v>
      </c>
      <c r="Y355" s="61">
        <v>0</v>
      </c>
      <c r="AA355" s="16"/>
      <c r="AB355" s="20"/>
      <c r="AD355" s="16"/>
      <c r="AE355" s="20"/>
    </row>
    <row r="356" spans="1:31" ht="18" customHeight="1" x14ac:dyDescent="0.2">
      <c r="A356" s="30" t="s">
        <v>295</v>
      </c>
      <c r="B356" s="30" t="s">
        <v>17</v>
      </c>
      <c r="C356" s="4">
        <v>0</v>
      </c>
      <c r="D356" s="4">
        <v>0</v>
      </c>
      <c r="F356" s="106" t="s">
        <v>359</v>
      </c>
      <c r="H356" s="61">
        <v>0</v>
      </c>
      <c r="I356" s="61">
        <v>0</v>
      </c>
      <c r="J356" s="61">
        <v>0</v>
      </c>
      <c r="K356" s="88"/>
      <c r="L356" s="88"/>
      <c r="M356" s="61">
        <v>0</v>
      </c>
      <c r="N356" s="61">
        <v>0</v>
      </c>
      <c r="O356" s="61">
        <v>0</v>
      </c>
      <c r="P356" s="61">
        <v>0</v>
      </c>
      <c r="Q356" s="61">
        <v>0</v>
      </c>
      <c r="R356" s="61">
        <v>0</v>
      </c>
      <c r="S356" s="61">
        <v>0</v>
      </c>
      <c r="T356" s="61">
        <v>0</v>
      </c>
      <c r="U356" s="61">
        <v>0</v>
      </c>
      <c r="V356" s="61">
        <v>0</v>
      </c>
      <c r="W356" s="61">
        <v>0</v>
      </c>
      <c r="X356" s="61">
        <v>0</v>
      </c>
      <c r="Y356" s="61">
        <v>0</v>
      </c>
      <c r="AA356" s="16"/>
      <c r="AB356" s="20"/>
      <c r="AD356" s="16"/>
      <c r="AE356" s="20"/>
    </row>
    <row r="357" spans="1:31" ht="18" customHeight="1" x14ac:dyDescent="0.2">
      <c r="A357" s="30" t="s">
        <v>296</v>
      </c>
      <c r="B357" s="30" t="s">
        <v>17</v>
      </c>
      <c r="C357" s="4">
        <v>0</v>
      </c>
      <c r="D357" s="4">
        <v>0</v>
      </c>
      <c r="F357" s="106" t="s">
        <v>360</v>
      </c>
      <c r="H357" s="61">
        <v>0</v>
      </c>
      <c r="I357" s="61">
        <v>0</v>
      </c>
      <c r="J357" s="61">
        <v>0</v>
      </c>
      <c r="K357" s="88"/>
      <c r="L357" s="88"/>
      <c r="M357" s="61">
        <v>0</v>
      </c>
      <c r="N357" s="61">
        <v>0</v>
      </c>
      <c r="O357" s="61">
        <v>0</v>
      </c>
      <c r="P357" s="61">
        <v>0</v>
      </c>
      <c r="Q357" s="61">
        <v>0</v>
      </c>
      <c r="R357" s="61">
        <v>0</v>
      </c>
      <c r="S357" s="61">
        <v>0</v>
      </c>
      <c r="T357" s="61">
        <v>0</v>
      </c>
      <c r="U357" s="61">
        <v>0</v>
      </c>
      <c r="V357" s="61">
        <v>0</v>
      </c>
      <c r="W357" s="61">
        <v>0</v>
      </c>
      <c r="X357" s="61">
        <v>0</v>
      </c>
      <c r="Y357" s="61">
        <v>0</v>
      </c>
      <c r="AA357" s="16"/>
      <c r="AB357" s="20"/>
      <c r="AD357" s="16"/>
      <c r="AE357" s="20"/>
    </row>
    <row r="358" spans="1:31" ht="18" customHeight="1" x14ac:dyDescent="0.2">
      <c r="A358" s="30" t="s">
        <v>297</v>
      </c>
      <c r="B358" s="30" t="s">
        <v>17</v>
      </c>
      <c r="C358" s="4">
        <v>0</v>
      </c>
      <c r="D358" s="4">
        <v>0</v>
      </c>
      <c r="F358" s="106" t="s">
        <v>361</v>
      </c>
      <c r="H358" s="61">
        <v>0</v>
      </c>
      <c r="I358" s="61">
        <v>0</v>
      </c>
      <c r="J358" s="61">
        <v>0</v>
      </c>
      <c r="K358" s="88"/>
      <c r="L358" s="88"/>
      <c r="M358" s="61">
        <v>0</v>
      </c>
      <c r="N358" s="61">
        <v>0</v>
      </c>
      <c r="O358" s="61">
        <v>0</v>
      </c>
      <c r="P358" s="61">
        <v>0</v>
      </c>
      <c r="Q358" s="61">
        <v>0</v>
      </c>
      <c r="R358" s="61">
        <v>0</v>
      </c>
      <c r="S358" s="61">
        <v>0</v>
      </c>
      <c r="T358" s="61">
        <v>0</v>
      </c>
      <c r="U358" s="61">
        <v>0</v>
      </c>
      <c r="V358" s="61">
        <v>0</v>
      </c>
      <c r="W358" s="61">
        <v>0</v>
      </c>
      <c r="X358" s="61">
        <v>0</v>
      </c>
      <c r="Y358" s="61">
        <v>0</v>
      </c>
      <c r="AA358" s="16"/>
      <c r="AB358" s="20"/>
      <c r="AD358" s="16"/>
      <c r="AE358" s="20"/>
    </row>
    <row r="359" spans="1:31" ht="18" customHeight="1" collapsed="1" x14ac:dyDescent="0.2">
      <c r="A359" s="30" t="s">
        <v>292</v>
      </c>
      <c r="B359" s="30" t="s">
        <v>17</v>
      </c>
      <c r="C359" s="4">
        <v>0</v>
      </c>
      <c r="D359" s="4">
        <v>0</v>
      </c>
      <c r="F359" s="107" t="s">
        <v>362</v>
      </c>
      <c r="H359" s="79">
        <v>0</v>
      </c>
      <c r="I359" s="79">
        <v>0</v>
      </c>
      <c r="J359" s="79">
        <v>0</v>
      </c>
      <c r="K359" s="89"/>
      <c r="L359" s="89"/>
      <c r="M359" s="79">
        <v>0</v>
      </c>
      <c r="N359" s="79">
        <v>0</v>
      </c>
      <c r="O359" s="79">
        <v>0</v>
      </c>
      <c r="P359" s="79">
        <v>0</v>
      </c>
      <c r="Q359" s="79">
        <v>0</v>
      </c>
      <c r="R359" s="79">
        <v>0</v>
      </c>
      <c r="S359" s="79">
        <v>0</v>
      </c>
      <c r="T359" s="79">
        <v>0</v>
      </c>
      <c r="U359" s="79">
        <v>0</v>
      </c>
      <c r="V359" s="79">
        <v>0</v>
      </c>
      <c r="W359" s="79">
        <v>0</v>
      </c>
      <c r="X359" s="79">
        <v>0</v>
      </c>
      <c r="Y359" s="79">
        <v>0</v>
      </c>
      <c r="AA359" s="16"/>
      <c r="AB359" s="20"/>
      <c r="AD359" s="16"/>
      <c r="AE359" s="20"/>
    </row>
    <row r="360" spans="1:31" ht="15" x14ac:dyDescent="0.2">
      <c r="A360" s="4"/>
      <c r="B360" s="4"/>
      <c r="C360" s="4"/>
      <c r="D360" s="4"/>
      <c r="F360" s="96"/>
      <c r="H360" s="16"/>
      <c r="I360" s="16"/>
      <c r="J360" s="16"/>
      <c r="K360" s="85"/>
      <c r="L360" s="85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AA360" s="16"/>
      <c r="AB360" s="20"/>
      <c r="AD360" s="16"/>
      <c r="AE360" s="20"/>
    </row>
    <row r="361" spans="1:31" ht="18" hidden="1" customHeight="1" outlineLevel="1" x14ac:dyDescent="0.2">
      <c r="A361" s="30" t="s">
        <v>112</v>
      </c>
      <c r="B361" s="30" t="s">
        <v>17</v>
      </c>
      <c r="C361" s="4">
        <v>0</v>
      </c>
      <c r="D361" s="4">
        <v>0</v>
      </c>
      <c r="F361" s="50" t="s">
        <v>113</v>
      </c>
      <c r="H361" s="60">
        <v>0</v>
      </c>
      <c r="I361" s="60">
        <v>0</v>
      </c>
      <c r="J361" s="60">
        <v>0</v>
      </c>
      <c r="K361" s="90">
        <v>0</v>
      </c>
      <c r="L361" s="90">
        <v>0</v>
      </c>
      <c r="M361" s="60">
        <v>0</v>
      </c>
      <c r="N361" s="60">
        <v>0</v>
      </c>
      <c r="O361" s="60">
        <v>0</v>
      </c>
      <c r="P361" s="60">
        <v>0</v>
      </c>
      <c r="Q361" s="60">
        <v>0</v>
      </c>
      <c r="R361" s="60">
        <v>0</v>
      </c>
      <c r="S361" s="60">
        <v>0</v>
      </c>
      <c r="T361" s="60">
        <v>0</v>
      </c>
      <c r="U361" s="60">
        <v>0</v>
      </c>
      <c r="V361" s="60">
        <v>0</v>
      </c>
      <c r="W361" s="60">
        <v>0</v>
      </c>
      <c r="X361" s="60">
        <v>0</v>
      </c>
      <c r="Y361" s="60">
        <v>0</v>
      </c>
      <c r="AA361" s="60">
        <v>0</v>
      </c>
      <c r="AB361" s="60">
        <v>0</v>
      </c>
      <c r="AD361" s="60">
        <v>0</v>
      </c>
      <c r="AE361" s="60">
        <v>0</v>
      </c>
    </row>
    <row r="362" spans="1:31" ht="12.95" hidden="1" customHeight="1" outlineLevel="1" x14ac:dyDescent="0.2">
      <c r="A362" s="35"/>
      <c r="B362" s="35"/>
      <c r="C362" s="4"/>
      <c r="D362" s="4"/>
      <c r="F362" s="51" t="s">
        <v>114</v>
      </c>
      <c r="H362" s="80">
        <v>0</v>
      </c>
      <c r="I362" s="80">
        <v>0</v>
      </c>
      <c r="J362" s="80">
        <v>0</v>
      </c>
      <c r="K362" s="91">
        <v>0</v>
      </c>
      <c r="L362" s="91">
        <v>0</v>
      </c>
      <c r="M362" s="80">
        <v>0</v>
      </c>
      <c r="N362" s="80">
        <v>0</v>
      </c>
      <c r="O362" s="80">
        <v>0</v>
      </c>
      <c r="P362" s="80">
        <v>0</v>
      </c>
      <c r="Q362" s="80">
        <v>0</v>
      </c>
      <c r="R362" s="80">
        <v>0</v>
      </c>
      <c r="S362" s="80">
        <v>0</v>
      </c>
      <c r="T362" s="80">
        <v>0</v>
      </c>
      <c r="U362" s="80">
        <v>0</v>
      </c>
      <c r="V362" s="80">
        <v>0</v>
      </c>
      <c r="W362" s="80">
        <v>0</v>
      </c>
      <c r="X362" s="80">
        <v>0</v>
      </c>
      <c r="Y362" s="80">
        <v>0</v>
      </c>
      <c r="AA362" s="80">
        <v>0</v>
      </c>
      <c r="AB362" s="69"/>
      <c r="AD362" s="80">
        <v>0</v>
      </c>
      <c r="AE362" s="69"/>
    </row>
    <row r="363" spans="1:31" ht="18" hidden="1" customHeight="1" outlineLevel="1" x14ac:dyDescent="0.2">
      <c r="A363" s="33" t="s">
        <v>100</v>
      </c>
      <c r="B363" s="33" t="s">
        <v>17</v>
      </c>
      <c r="C363" s="4"/>
      <c r="D363" s="4"/>
      <c r="F363" s="38" t="s">
        <v>103</v>
      </c>
      <c r="H363" s="66">
        <v>0</v>
      </c>
      <c r="I363" s="66">
        <v>0</v>
      </c>
      <c r="J363" s="66">
        <v>0</v>
      </c>
      <c r="K363" s="86">
        <v>0</v>
      </c>
      <c r="L363" s="86">
        <v>0</v>
      </c>
      <c r="M363" s="66">
        <v>0</v>
      </c>
      <c r="N363" s="66">
        <v>0</v>
      </c>
      <c r="O363" s="66">
        <v>0</v>
      </c>
      <c r="P363" s="66">
        <v>0</v>
      </c>
      <c r="Q363" s="66">
        <v>0</v>
      </c>
      <c r="R363" s="66">
        <v>0</v>
      </c>
      <c r="S363" s="66">
        <v>0</v>
      </c>
      <c r="T363" s="66">
        <v>0</v>
      </c>
      <c r="U363" s="66">
        <v>0</v>
      </c>
      <c r="V363" s="66">
        <v>0</v>
      </c>
      <c r="W363" s="66">
        <v>0</v>
      </c>
      <c r="X363" s="66">
        <v>0</v>
      </c>
      <c r="Y363" s="66">
        <v>0</v>
      </c>
      <c r="AA363" s="66">
        <v>0</v>
      </c>
      <c r="AB363" s="60">
        <v>0</v>
      </c>
      <c r="AD363" s="66">
        <v>0</v>
      </c>
      <c r="AE363" s="60">
        <v>0</v>
      </c>
    </row>
    <row r="364" spans="1:31" ht="18" hidden="1" customHeight="1" outlineLevel="1" x14ac:dyDescent="0.2">
      <c r="A364" s="33" t="s">
        <v>101</v>
      </c>
      <c r="B364" s="33" t="s">
        <v>102</v>
      </c>
      <c r="C364" s="4"/>
      <c r="D364" s="4"/>
      <c r="F364" s="38" t="s">
        <v>104</v>
      </c>
      <c r="H364" s="66">
        <v>0</v>
      </c>
      <c r="I364" s="66">
        <v>0</v>
      </c>
      <c r="J364" s="66">
        <v>0</v>
      </c>
      <c r="K364" s="86">
        <v>0</v>
      </c>
      <c r="L364" s="86">
        <v>0</v>
      </c>
      <c r="M364" s="66">
        <v>0</v>
      </c>
      <c r="N364" s="66">
        <v>0</v>
      </c>
      <c r="O364" s="66">
        <v>0</v>
      </c>
      <c r="P364" s="66">
        <v>0</v>
      </c>
      <c r="Q364" s="66">
        <v>0</v>
      </c>
      <c r="R364" s="66">
        <v>0</v>
      </c>
      <c r="S364" s="66">
        <v>0</v>
      </c>
      <c r="T364" s="66">
        <v>0</v>
      </c>
      <c r="U364" s="66">
        <v>0</v>
      </c>
      <c r="V364" s="66">
        <v>0</v>
      </c>
      <c r="W364" s="66">
        <v>0</v>
      </c>
      <c r="X364" s="66">
        <v>0</v>
      </c>
      <c r="Y364" s="66">
        <v>0</v>
      </c>
      <c r="AA364" s="66">
        <v>0</v>
      </c>
      <c r="AB364" s="60">
        <v>0</v>
      </c>
      <c r="AD364" s="66">
        <v>0</v>
      </c>
      <c r="AE364" s="60">
        <v>0</v>
      </c>
    </row>
    <row r="365" spans="1:31" ht="18" customHeight="1" collapsed="1" x14ac:dyDescent="0.2">
      <c r="A365" s="32"/>
      <c r="B365" s="32"/>
      <c r="C365" s="4">
        <v>0</v>
      </c>
      <c r="D365" s="4">
        <v>0</v>
      </c>
      <c r="F365" s="107" t="s">
        <v>105</v>
      </c>
      <c r="G365" s="7"/>
      <c r="H365" s="58">
        <v>0</v>
      </c>
      <c r="I365" s="58">
        <v>0</v>
      </c>
      <c r="J365" s="58">
        <v>0</v>
      </c>
      <c r="K365" s="92">
        <v>0</v>
      </c>
      <c r="L365" s="92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AA365" s="58">
        <v>0</v>
      </c>
      <c r="AB365" s="60">
        <v>0</v>
      </c>
      <c r="AD365" s="58">
        <v>0</v>
      </c>
      <c r="AE365" s="60">
        <v>0</v>
      </c>
    </row>
    <row r="366" spans="1:31" ht="18" customHeight="1" x14ac:dyDescent="0.2">
      <c r="A366" s="32"/>
      <c r="B366" s="32"/>
      <c r="C366" s="4"/>
      <c r="D366" s="4"/>
      <c r="F366" s="191" t="s">
        <v>402</v>
      </c>
      <c r="G366" s="7"/>
      <c r="H366" s="194">
        <v>0</v>
      </c>
      <c r="I366" s="194">
        <v>0</v>
      </c>
      <c r="J366" s="194">
        <v>0</v>
      </c>
      <c r="K366" s="194">
        <v>0</v>
      </c>
      <c r="L366" s="194">
        <v>0</v>
      </c>
      <c r="M366" s="194">
        <v>0</v>
      </c>
      <c r="N366" s="194">
        <v>0</v>
      </c>
      <c r="O366" s="194">
        <v>0</v>
      </c>
      <c r="P366" s="194">
        <v>0</v>
      </c>
      <c r="Q366" s="194">
        <v>0</v>
      </c>
      <c r="R366" s="194">
        <v>0</v>
      </c>
      <c r="S366" s="194">
        <v>0</v>
      </c>
      <c r="T366" s="194">
        <v>0</v>
      </c>
      <c r="U366" s="194">
        <v>0</v>
      </c>
      <c r="V366" s="194">
        <v>0</v>
      </c>
      <c r="W366" s="194">
        <v>0</v>
      </c>
      <c r="X366" s="194">
        <v>0</v>
      </c>
      <c r="Y366" s="194">
        <v>0</v>
      </c>
      <c r="AA366" s="20"/>
      <c r="AB366" s="190"/>
      <c r="AD366" s="190"/>
      <c r="AE366" s="190"/>
    </row>
    <row r="367" spans="1:31" ht="18" hidden="1" customHeight="1" outlineLevel="1" x14ac:dyDescent="0.2">
      <c r="A367" s="192" t="s">
        <v>101</v>
      </c>
      <c r="B367" s="192" t="s">
        <v>403</v>
      </c>
      <c r="C367" s="4"/>
      <c r="D367" s="4"/>
      <c r="F367" s="193" t="s">
        <v>404</v>
      </c>
      <c r="G367" s="7"/>
      <c r="H367" s="66">
        <v>0</v>
      </c>
      <c r="I367" s="66">
        <v>0</v>
      </c>
      <c r="J367" s="66">
        <v>0</v>
      </c>
      <c r="K367" s="86">
        <v>0</v>
      </c>
      <c r="L367" s="86">
        <v>0</v>
      </c>
      <c r="M367" s="66">
        <v>0</v>
      </c>
      <c r="N367" s="66">
        <v>0</v>
      </c>
      <c r="O367" s="66">
        <v>0</v>
      </c>
      <c r="P367" s="66">
        <v>0</v>
      </c>
      <c r="Q367" s="66">
        <v>0</v>
      </c>
      <c r="R367" s="66">
        <v>0</v>
      </c>
      <c r="S367" s="66">
        <v>0</v>
      </c>
      <c r="T367" s="66">
        <v>0</v>
      </c>
      <c r="U367" s="66">
        <v>0</v>
      </c>
      <c r="V367" s="66">
        <v>0</v>
      </c>
      <c r="W367" s="66">
        <v>0</v>
      </c>
      <c r="X367" s="66">
        <v>0</v>
      </c>
      <c r="Y367" s="66">
        <v>0</v>
      </c>
      <c r="AA367" s="20"/>
      <c r="AB367" s="190"/>
      <c r="AD367" s="189"/>
      <c r="AE367" s="190"/>
    </row>
    <row r="368" spans="1:31" ht="18" hidden="1" customHeight="1" outlineLevel="1" x14ac:dyDescent="0.2">
      <c r="A368" s="192" t="s">
        <v>405</v>
      </c>
      <c r="B368" s="192" t="s">
        <v>17</v>
      </c>
      <c r="C368" s="4"/>
      <c r="D368" s="4"/>
      <c r="F368" s="193" t="s">
        <v>406</v>
      </c>
      <c r="G368" s="7"/>
      <c r="H368" s="66">
        <v>0</v>
      </c>
      <c r="I368" s="66">
        <v>0</v>
      </c>
      <c r="J368" s="66">
        <v>0</v>
      </c>
      <c r="K368" s="86">
        <v>0</v>
      </c>
      <c r="L368" s="86">
        <v>0</v>
      </c>
      <c r="M368" s="66">
        <v>0</v>
      </c>
      <c r="N368" s="66">
        <v>0</v>
      </c>
      <c r="O368" s="66">
        <v>0</v>
      </c>
      <c r="P368" s="66">
        <v>0</v>
      </c>
      <c r="Q368" s="66">
        <v>0</v>
      </c>
      <c r="R368" s="66">
        <v>0</v>
      </c>
      <c r="S368" s="66">
        <v>0</v>
      </c>
      <c r="T368" s="66">
        <v>0</v>
      </c>
      <c r="U368" s="66">
        <v>0</v>
      </c>
      <c r="V368" s="66">
        <v>0</v>
      </c>
      <c r="W368" s="66">
        <v>0</v>
      </c>
      <c r="X368" s="66">
        <v>0</v>
      </c>
      <c r="Y368" s="66">
        <v>0</v>
      </c>
      <c r="AA368" s="20"/>
      <c r="AB368" s="190"/>
      <c r="AD368" s="189"/>
      <c r="AE368" s="190"/>
    </row>
    <row r="369" spans="1:33" ht="18" customHeight="1" collapsed="1" x14ac:dyDescent="0.2">
      <c r="A369" s="32"/>
      <c r="B369" s="32"/>
      <c r="C369" s="4"/>
      <c r="D369" s="4"/>
      <c r="F369" s="191" t="s">
        <v>407</v>
      </c>
      <c r="G369" s="7"/>
      <c r="H369" s="194">
        <v>0</v>
      </c>
      <c r="I369" s="194">
        <v>0</v>
      </c>
      <c r="J369" s="194">
        <v>0</v>
      </c>
      <c r="K369" s="194">
        <v>0</v>
      </c>
      <c r="L369" s="194">
        <v>0</v>
      </c>
      <c r="M369" s="194">
        <v>0</v>
      </c>
      <c r="N369" s="194">
        <v>0</v>
      </c>
      <c r="O369" s="194">
        <v>0</v>
      </c>
      <c r="P369" s="194">
        <v>0</v>
      </c>
      <c r="Q369" s="194">
        <v>0</v>
      </c>
      <c r="R369" s="194">
        <v>0</v>
      </c>
      <c r="S369" s="194">
        <v>0</v>
      </c>
      <c r="T369" s="194">
        <v>0</v>
      </c>
      <c r="U369" s="194">
        <v>0</v>
      </c>
      <c r="V369" s="194">
        <v>0</v>
      </c>
      <c r="W369" s="194">
        <v>0</v>
      </c>
      <c r="X369" s="194">
        <v>0</v>
      </c>
      <c r="Y369" s="194">
        <v>0</v>
      </c>
      <c r="AA369" s="20"/>
      <c r="AB369" s="190"/>
      <c r="AD369" s="190"/>
      <c r="AE369" s="190"/>
    </row>
    <row r="370" spans="1:33" ht="18" customHeight="1" x14ac:dyDescent="0.2">
      <c r="A370" s="30" t="s">
        <v>106</v>
      </c>
      <c r="B370" s="30" t="s">
        <v>17</v>
      </c>
      <c r="C370" s="4"/>
      <c r="D370" s="4"/>
      <c r="F370" s="106" t="s">
        <v>108</v>
      </c>
      <c r="H370" s="61">
        <v>0</v>
      </c>
      <c r="I370" s="61">
        <v>0</v>
      </c>
      <c r="J370" s="61">
        <v>0</v>
      </c>
      <c r="K370" s="86"/>
      <c r="L370" s="86"/>
      <c r="M370" s="61">
        <v>0</v>
      </c>
      <c r="N370" s="61">
        <v>0</v>
      </c>
      <c r="O370" s="61">
        <v>0</v>
      </c>
      <c r="P370" s="61">
        <v>0</v>
      </c>
      <c r="Q370" s="61">
        <v>0</v>
      </c>
      <c r="R370" s="61">
        <v>0</v>
      </c>
      <c r="S370" s="61">
        <v>0</v>
      </c>
      <c r="T370" s="61">
        <v>0</v>
      </c>
      <c r="U370" s="61">
        <v>0</v>
      </c>
      <c r="V370" s="61">
        <v>0</v>
      </c>
      <c r="W370" s="61">
        <v>0</v>
      </c>
      <c r="X370" s="61">
        <v>0</v>
      </c>
      <c r="Y370" s="61">
        <v>0</v>
      </c>
      <c r="AA370" s="20"/>
      <c r="AB370" s="16"/>
      <c r="AD370" s="20"/>
      <c r="AE370" s="16"/>
    </row>
    <row r="371" spans="1:33" ht="18" customHeight="1" x14ac:dyDescent="0.2">
      <c r="A371" s="30" t="s">
        <v>107</v>
      </c>
      <c r="B371" s="30" t="s">
        <v>17</v>
      </c>
      <c r="C371" s="4"/>
      <c r="D371" s="4"/>
      <c r="F371" s="106" t="s">
        <v>109</v>
      </c>
      <c r="H371" s="61">
        <v>0</v>
      </c>
      <c r="I371" s="61">
        <v>0</v>
      </c>
      <c r="J371" s="61">
        <v>0</v>
      </c>
      <c r="K371" s="86"/>
      <c r="L371" s="86"/>
      <c r="M371" s="61">
        <v>0</v>
      </c>
      <c r="N371" s="61">
        <v>0</v>
      </c>
      <c r="O371" s="61">
        <v>0</v>
      </c>
      <c r="P371" s="61">
        <v>0</v>
      </c>
      <c r="Q371" s="61">
        <v>0</v>
      </c>
      <c r="R371" s="61">
        <v>0</v>
      </c>
      <c r="S371" s="61">
        <v>0</v>
      </c>
      <c r="T371" s="61">
        <v>0</v>
      </c>
      <c r="U371" s="61">
        <v>0</v>
      </c>
      <c r="V371" s="61">
        <v>0</v>
      </c>
      <c r="W371" s="61">
        <v>0</v>
      </c>
      <c r="X371" s="61">
        <v>0</v>
      </c>
      <c r="Y371" s="61">
        <v>0</v>
      </c>
      <c r="AA371" s="20"/>
      <c r="AB371" s="16"/>
      <c r="AD371" s="20"/>
      <c r="AE371" s="16"/>
    </row>
    <row r="372" spans="1:33" ht="18" customHeight="1" x14ac:dyDescent="0.2">
      <c r="A372" s="30"/>
      <c r="B372" s="30"/>
      <c r="C372" s="4"/>
      <c r="D372" s="4"/>
      <c r="F372" s="106" t="s">
        <v>110</v>
      </c>
      <c r="H372" s="61">
        <v>0</v>
      </c>
      <c r="I372" s="61">
        <v>0</v>
      </c>
      <c r="J372" s="61">
        <v>0</v>
      </c>
      <c r="K372" s="86"/>
      <c r="L372" s="86"/>
      <c r="M372" s="61">
        <v>0</v>
      </c>
      <c r="N372" s="61">
        <v>0</v>
      </c>
      <c r="O372" s="61">
        <v>0</v>
      </c>
      <c r="P372" s="61">
        <v>0</v>
      </c>
      <c r="Q372" s="61">
        <v>0</v>
      </c>
      <c r="R372" s="61">
        <v>0</v>
      </c>
      <c r="S372" s="61">
        <v>0</v>
      </c>
      <c r="T372" s="61">
        <v>0</v>
      </c>
      <c r="U372" s="61">
        <v>0</v>
      </c>
      <c r="V372" s="61">
        <v>0</v>
      </c>
      <c r="W372" s="61">
        <v>0</v>
      </c>
      <c r="X372" s="61">
        <v>0</v>
      </c>
      <c r="Y372" s="61">
        <v>0</v>
      </c>
      <c r="AA372" s="20"/>
      <c r="AB372" s="16"/>
      <c r="AD372" s="20"/>
      <c r="AE372" s="16"/>
    </row>
    <row r="373" spans="1:33" ht="18" customHeight="1" collapsed="1" x14ac:dyDescent="0.2">
      <c r="A373" s="32"/>
      <c r="B373" s="32"/>
      <c r="C373" s="4">
        <v>0</v>
      </c>
      <c r="D373" s="4">
        <v>0</v>
      </c>
      <c r="F373" s="107" t="s">
        <v>111</v>
      </c>
      <c r="H373" s="58">
        <v>0</v>
      </c>
      <c r="I373" s="58">
        <v>0</v>
      </c>
      <c r="J373" s="58">
        <v>0</v>
      </c>
      <c r="K373" s="92">
        <v>0</v>
      </c>
      <c r="L373" s="92">
        <v>0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AA373" s="58">
        <v>0</v>
      </c>
      <c r="AB373" s="60">
        <v>0</v>
      </c>
      <c r="AD373" s="58">
        <v>0</v>
      </c>
      <c r="AE373" s="60">
        <v>0</v>
      </c>
    </row>
    <row r="374" spans="1:33" ht="15" x14ac:dyDescent="0.2">
      <c r="A374" s="4"/>
      <c r="B374" s="4"/>
      <c r="C374" s="4"/>
      <c r="D374" s="4"/>
      <c r="F374" s="96"/>
      <c r="H374" s="16"/>
      <c r="I374" s="16"/>
      <c r="J374" s="16"/>
      <c r="K374" s="85"/>
      <c r="L374" s="85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AA374" s="16"/>
      <c r="AB374" s="8"/>
      <c r="AD374" s="16"/>
      <c r="AE374" s="8"/>
    </row>
    <row r="375" spans="1:33" ht="15" x14ac:dyDescent="0.2">
      <c r="F375" s="102" t="s">
        <v>370</v>
      </c>
      <c r="H375" s="81">
        <v>5.3220235294117648</v>
      </c>
      <c r="I375" s="81">
        <v>4.0822971285892633</v>
      </c>
      <c r="J375" s="81">
        <v>4.0822971285892633</v>
      </c>
      <c r="K375" s="83">
        <v>0</v>
      </c>
      <c r="L375" s="83">
        <v>0</v>
      </c>
      <c r="M375" s="81">
        <v>0</v>
      </c>
      <c r="N375" s="81">
        <v>0</v>
      </c>
      <c r="O375" s="81">
        <v>0</v>
      </c>
      <c r="P375" s="81">
        <v>0</v>
      </c>
      <c r="Q375" s="81">
        <v>0</v>
      </c>
      <c r="R375" s="81">
        <v>0</v>
      </c>
      <c r="S375" s="81">
        <v>0</v>
      </c>
      <c r="T375" s="81">
        <v>0</v>
      </c>
      <c r="U375" s="81">
        <v>0</v>
      </c>
      <c r="V375" s="81">
        <v>0</v>
      </c>
      <c r="W375" s="81">
        <v>0</v>
      </c>
      <c r="X375" s="81">
        <v>0</v>
      </c>
      <c r="Y375" s="81">
        <v>0</v>
      </c>
      <c r="AA375" s="81">
        <v>0</v>
      </c>
      <c r="AB375" s="8"/>
      <c r="AD375" s="81">
        <v>0</v>
      </c>
      <c r="AE375" s="8"/>
    </row>
    <row r="376" spans="1:33" ht="15" x14ac:dyDescent="0.2">
      <c r="F376" s="102" t="s">
        <v>371</v>
      </c>
      <c r="H376" s="81">
        <v>0</v>
      </c>
      <c r="I376" s="81">
        <v>0</v>
      </c>
      <c r="J376" s="81">
        <v>0</v>
      </c>
      <c r="K376" s="83">
        <v>0</v>
      </c>
      <c r="L376" s="83">
        <v>0</v>
      </c>
      <c r="M376" s="81">
        <v>0</v>
      </c>
      <c r="N376" s="81">
        <v>0</v>
      </c>
      <c r="O376" s="81">
        <v>0</v>
      </c>
      <c r="P376" s="81">
        <v>0</v>
      </c>
      <c r="Q376" s="81">
        <v>0</v>
      </c>
      <c r="R376" s="81">
        <v>0</v>
      </c>
      <c r="S376" s="81">
        <v>0</v>
      </c>
      <c r="T376" s="81">
        <v>0</v>
      </c>
      <c r="U376" s="81">
        <v>0</v>
      </c>
      <c r="V376" s="81">
        <v>0</v>
      </c>
      <c r="W376" s="81">
        <v>0</v>
      </c>
      <c r="X376" s="81">
        <v>0</v>
      </c>
      <c r="Y376" s="81">
        <v>0</v>
      </c>
      <c r="AA376" s="81">
        <v>0</v>
      </c>
      <c r="AB376" s="8"/>
      <c r="AD376" s="81">
        <v>0</v>
      </c>
      <c r="AE376" s="8"/>
    </row>
    <row r="377" spans="1:33" s="11" customFormat="1" ht="15" x14ac:dyDescent="0.2">
      <c r="A377" s="8"/>
      <c r="B377" s="8"/>
      <c r="C377" s="8"/>
      <c r="D377" s="8"/>
      <c r="E377" s="8"/>
      <c r="F377" s="103"/>
      <c r="G377" s="8"/>
      <c r="H377" s="82"/>
      <c r="I377" s="16"/>
      <c r="J377" s="16"/>
      <c r="K377" s="84"/>
      <c r="L377" s="84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8"/>
      <c r="AA377" s="16"/>
      <c r="AB377" s="8"/>
      <c r="AC377" s="8"/>
      <c r="AD377" s="16"/>
      <c r="AE377" s="8"/>
      <c r="AF377" s="8"/>
      <c r="AG377" s="8"/>
    </row>
    <row r="378" spans="1:33" s="11" customFormat="1" ht="15" x14ac:dyDescent="0.2">
      <c r="A378" s="8"/>
      <c r="B378" s="8"/>
      <c r="C378" s="8"/>
      <c r="D378" s="8"/>
      <c r="E378" s="8"/>
      <c r="F378" s="102" t="s">
        <v>356</v>
      </c>
      <c r="G378" s="8"/>
      <c r="H378" s="81">
        <v>102.17166402871973</v>
      </c>
      <c r="I378" s="81">
        <v>13.800643440818128</v>
      </c>
      <c r="J378" s="81">
        <v>13.800643440818128</v>
      </c>
      <c r="K378" s="83">
        <v>0</v>
      </c>
      <c r="L378" s="83">
        <v>0</v>
      </c>
      <c r="M378" s="81">
        <v>0</v>
      </c>
      <c r="N378" s="81">
        <v>0</v>
      </c>
      <c r="O378" s="81">
        <v>0</v>
      </c>
      <c r="P378" s="81">
        <v>0</v>
      </c>
      <c r="Q378" s="81">
        <v>0</v>
      </c>
      <c r="R378" s="81">
        <v>0</v>
      </c>
      <c r="S378" s="81">
        <v>0</v>
      </c>
      <c r="T378" s="81">
        <v>0</v>
      </c>
      <c r="U378" s="81">
        <v>0</v>
      </c>
      <c r="V378" s="81">
        <v>0</v>
      </c>
      <c r="W378" s="81">
        <v>0</v>
      </c>
      <c r="X378" s="81">
        <v>0</v>
      </c>
      <c r="Y378" s="81">
        <v>0</v>
      </c>
      <c r="Z378" s="8"/>
      <c r="AA378" s="81">
        <v>0</v>
      </c>
      <c r="AB378" s="8"/>
      <c r="AC378" s="8"/>
      <c r="AD378" s="81">
        <v>0</v>
      </c>
      <c r="AE378" s="8"/>
      <c r="AF378" s="8"/>
      <c r="AG378" s="8"/>
    </row>
    <row r="379" spans="1:33" ht="15" x14ac:dyDescent="0.2">
      <c r="F379" s="96"/>
      <c r="H379" s="16"/>
      <c r="I379" s="16"/>
      <c r="J379" s="16"/>
      <c r="K379" s="85"/>
      <c r="L379" s="85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AA379" s="16"/>
      <c r="AB379" s="8"/>
      <c r="AD379" s="16"/>
      <c r="AE379" s="8"/>
    </row>
    <row r="380" spans="1:33" s="11" customFormat="1" ht="15" x14ac:dyDescent="0.2">
      <c r="A380" s="8"/>
      <c r="B380" s="8"/>
      <c r="C380" s="8"/>
      <c r="D380" s="8"/>
      <c r="E380" s="8"/>
      <c r="F380" s="102" t="s">
        <v>254</v>
      </c>
      <c r="G380" s="8"/>
      <c r="H380" s="81">
        <v>2.0016460176991151</v>
      </c>
      <c r="I380" s="81">
        <v>2.9454189829112618</v>
      </c>
      <c r="J380" s="81">
        <v>2.9454189829112618</v>
      </c>
      <c r="K380" s="83">
        <v>0</v>
      </c>
      <c r="L380" s="83">
        <v>0</v>
      </c>
      <c r="M380" s="81">
        <v>0</v>
      </c>
      <c r="N380" s="81">
        <v>0</v>
      </c>
      <c r="O380" s="81">
        <v>0</v>
      </c>
      <c r="P380" s="81">
        <v>0</v>
      </c>
      <c r="Q380" s="81">
        <v>0</v>
      </c>
      <c r="R380" s="81">
        <v>0</v>
      </c>
      <c r="S380" s="81">
        <v>0</v>
      </c>
      <c r="T380" s="81">
        <v>0</v>
      </c>
      <c r="U380" s="81">
        <v>0</v>
      </c>
      <c r="V380" s="81">
        <v>0</v>
      </c>
      <c r="W380" s="81">
        <v>0</v>
      </c>
      <c r="X380" s="81">
        <v>0</v>
      </c>
      <c r="Y380" s="81">
        <v>0</v>
      </c>
      <c r="Z380" s="8"/>
      <c r="AA380" s="81">
        <v>0</v>
      </c>
      <c r="AB380" s="8"/>
      <c r="AC380" s="8"/>
      <c r="AD380" s="81">
        <v>0</v>
      </c>
      <c r="AE380" s="8"/>
      <c r="AF380" s="8"/>
      <c r="AG380" s="8"/>
    </row>
    <row r="381" spans="1:33" s="11" customFormat="1" ht="15" x14ac:dyDescent="0.2">
      <c r="A381" s="8"/>
      <c r="B381" s="8"/>
      <c r="C381" s="8"/>
      <c r="D381" s="8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8"/>
      <c r="AC381" s="20"/>
      <c r="AD381" s="20"/>
      <c r="AE381" s="8"/>
      <c r="AF381" s="8"/>
      <c r="AG381" s="8"/>
    </row>
    <row r="382" spans="1:33" s="11" customFormat="1" x14ac:dyDescent="0.2">
      <c r="A382" s="42" t="s">
        <v>30</v>
      </c>
      <c r="B382" s="42" t="s">
        <v>17</v>
      </c>
      <c r="C382" s="8"/>
      <c r="D382" s="8"/>
      <c r="E382" s="8"/>
      <c r="F382" s="43" t="s">
        <v>253</v>
      </c>
      <c r="G382" s="8"/>
      <c r="H382" s="44">
        <v>0</v>
      </c>
      <c r="I382" s="44">
        <v>0</v>
      </c>
      <c r="J382" s="44">
        <v>0</v>
      </c>
      <c r="K382" s="44">
        <v>0</v>
      </c>
      <c r="L382" s="44">
        <v>0</v>
      </c>
      <c r="M382" s="44">
        <v>0</v>
      </c>
      <c r="N382" s="44">
        <v>-8.8817841970012523E-16</v>
      </c>
      <c r="O382" s="44">
        <v>-1.7763568394002505E-15</v>
      </c>
      <c r="P382" s="44">
        <v>-1.7763568394002505E-15</v>
      </c>
      <c r="Q382" s="44">
        <v>-1.7763568394002505E-15</v>
      </c>
      <c r="R382" s="44">
        <v>-1.7763568394002505E-15</v>
      </c>
      <c r="S382" s="44">
        <v>-1.7763568394002505E-15</v>
      </c>
      <c r="T382" s="44">
        <v>-3.5527136788005009E-15</v>
      </c>
      <c r="U382" s="44">
        <v>-3.5527136788005009E-15</v>
      </c>
      <c r="V382" s="44">
        <v>-3.5527136788005009E-15</v>
      </c>
      <c r="W382" s="44">
        <v>-1.7763568394002505E-15</v>
      </c>
      <c r="X382" s="44">
        <v>-1.7763568394002505E-15</v>
      </c>
      <c r="Y382" s="44">
        <v>0</v>
      </c>
      <c r="Z382" s="8"/>
      <c r="AA382" s="8"/>
      <c r="AB382" s="8"/>
      <c r="AC382" s="8"/>
      <c r="AD382" s="8"/>
      <c r="AE382" s="8"/>
      <c r="AF382" s="8"/>
      <c r="AG382" s="8"/>
    </row>
    <row r="383" spans="1:33" s="2" customFormat="1" ht="12.75" x14ac:dyDescent="0.2">
      <c r="F383" s="1"/>
      <c r="K383" s="49"/>
      <c r="L383" s="49"/>
      <c r="AB383" s="8"/>
      <c r="AE383" s="8"/>
    </row>
    <row r="384" spans="1:33" s="11" customFormat="1" x14ac:dyDescent="0.2">
      <c r="A384" s="8"/>
      <c r="B384" s="8"/>
      <c r="C384" s="8"/>
      <c r="D384" s="8"/>
      <c r="F384" s="11" t="s">
        <v>315</v>
      </c>
      <c r="M384" s="125" t="s">
        <v>388</v>
      </c>
      <c r="N384" s="125" t="s">
        <v>364</v>
      </c>
      <c r="O384" s="125" t="s">
        <v>316</v>
      </c>
      <c r="P384" s="125" t="s">
        <v>317</v>
      </c>
      <c r="Q384" s="125" t="s">
        <v>318</v>
      </c>
      <c r="R384" s="125" t="s">
        <v>319</v>
      </c>
      <c r="S384" s="125" t="s">
        <v>365</v>
      </c>
      <c r="T384" s="125" t="s">
        <v>320</v>
      </c>
      <c r="U384" s="125" t="s">
        <v>366</v>
      </c>
      <c r="V384" s="125" t="s">
        <v>367</v>
      </c>
      <c r="W384" s="125" t="s">
        <v>368</v>
      </c>
      <c r="X384" s="125" t="s">
        <v>369</v>
      </c>
      <c r="AB384" s="8"/>
      <c r="AE384" s="8"/>
      <c r="AF384" s="8"/>
      <c r="AG384" s="8"/>
    </row>
    <row r="385" spans="1:33" s="11" customFormat="1" x14ac:dyDescent="0.2">
      <c r="A385" s="8"/>
      <c r="B385" s="8"/>
      <c r="C385" s="8"/>
      <c r="D385" s="8"/>
      <c r="M385" s="126" t="s">
        <v>5</v>
      </c>
      <c r="N385" s="126" t="s">
        <v>6</v>
      </c>
      <c r="O385" s="126" t="s">
        <v>7</v>
      </c>
      <c r="P385" s="126" t="s">
        <v>8</v>
      </c>
      <c r="Q385" s="126" t="s">
        <v>9</v>
      </c>
      <c r="R385" s="126" t="s">
        <v>10</v>
      </c>
      <c r="S385" s="126" t="s">
        <v>321</v>
      </c>
      <c r="T385" s="126" t="s">
        <v>11</v>
      </c>
      <c r="U385" s="126" t="s">
        <v>12</v>
      </c>
      <c r="V385" s="126" t="s">
        <v>13</v>
      </c>
      <c r="W385" s="126" t="s">
        <v>14</v>
      </c>
      <c r="X385" s="126" t="s">
        <v>15</v>
      </c>
      <c r="AB385" s="8"/>
      <c r="AE385" s="8"/>
      <c r="AF385" s="8"/>
      <c r="AG385" s="8"/>
    </row>
    <row r="386" spans="1:33" s="11" customFormat="1" x14ac:dyDescent="0.2">
      <c r="A386" s="8"/>
      <c r="B386" s="8"/>
      <c r="C386" s="8"/>
      <c r="D386" s="8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AB386" s="8"/>
      <c r="AE386" s="8"/>
      <c r="AF386" s="8"/>
      <c r="AG386" s="8"/>
    </row>
    <row r="387" spans="1:33" s="11" customFormat="1" x14ac:dyDescent="0.2">
      <c r="A387" s="42" t="s">
        <v>30</v>
      </c>
      <c r="B387" s="42" t="s">
        <v>17</v>
      </c>
      <c r="C387" s="8"/>
      <c r="D387" s="8"/>
      <c r="F387" s="52">
        <v>2021</v>
      </c>
      <c r="M387" s="55">
        <v>-9.9064899999999998</v>
      </c>
      <c r="N387" s="55">
        <v>-23.869009999999999</v>
      </c>
      <c r="O387" s="55">
        <v>-28.759969999999999</v>
      </c>
      <c r="P387" s="55">
        <v>-47.806710000000002</v>
      </c>
      <c r="Q387" s="55">
        <v>-42.431379999999997</v>
      </c>
      <c r="R387" s="55">
        <v>-47.686500000000002</v>
      </c>
      <c r="S387" s="55">
        <v>-57.515619999999998</v>
      </c>
      <c r="T387" s="55">
        <v>-63.931199999999997</v>
      </c>
      <c r="U387" s="55">
        <v>-48.910440000000001</v>
      </c>
      <c r="V387" s="55">
        <v>-64.699000000000098</v>
      </c>
      <c r="W387" s="55">
        <v>-87.601999999999904</v>
      </c>
      <c r="X387" s="55">
        <v>-96.155999999999906</v>
      </c>
      <c r="AB387" s="8"/>
      <c r="AE387" s="8"/>
      <c r="AF387" s="8"/>
      <c r="AG387" s="8"/>
    </row>
    <row r="388" spans="1:33" s="11" customFormat="1" x14ac:dyDescent="0.2">
      <c r="A388" s="42" t="s">
        <v>30</v>
      </c>
      <c r="B388" s="42" t="s">
        <v>17</v>
      </c>
      <c r="C388" s="8"/>
      <c r="D388" s="8"/>
      <c r="F388" s="52">
        <v>2022</v>
      </c>
      <c r="M388" s="55">
        <v>-8.85</v>
      </c>
      <c r="N388" s="55">
        <v>-26.713000000000001</v>
      </c>
      <c r="O388" s="55">
        <v>-45.076000000000001</v>
      </c>
      <c r="P388" s="55">
        <v>-70.561000000000007</v>
      </c>
      <c r="Q388" s="55">
        <v>-87.662000000000006</v>
      </c>
      <c r="R388" s="55">
        <v>-98.277000000000001</v>
      </c>
      <c r="S388" s="55">
        <v>-101.916</v>
      </c>
      <c r="T388" s="55">
        <v>-86.88</v>
      </c>
      <c r="U388" s="55">
        <v>-85.052530000000004</v>
      </c>
      <c r="V388" s="55">
        <v>-89.063999999999993</v>
      </c>
      <c r="W388" s="55">
        <v>-91.590999999999994</v>
      </c>
      <c r="X388" s="55">
        <v>-91.715999999999994</v>
      </c>
      <c r="AB388" s="8"/>
      <c r="AE388" s="8"/>
      <c r="AF388" s="8"/>
      <c r="AG388" s="8"/>
    </row>
    <row r="389" spans="1:33" s="11" customFormat="1" x14ac:dyDescent="0.2">
      <c r="A389" s="42" t="s">
        <v>30</v>
      </c>
      <c r="B389" s="42" t="s">
        <v>17</v>
      </c>
      <c r="C389" s="8"/>
      <c r="D389" s="8"/>
      <c r="F389" s="124" t="s">
        <v>489</v>
      </c>
      <c r="L389" s="54">
        <v>0</v>
      </c>
      <c r="M389" s="55">
        <v>0</v>
      </c>
      <c r="N389" s="55">
        <v>0</v>
      </c>
      <c r="O389" s="55">
        <v>0</v>
      </c>
      <c r="P389" s="55">
        <v>0</v>
      </c>
      <c r="Q389" s="55">
        <v>0</v>
      </c>
      <c r="R389" s="55">
        <v>0</v>
      </c>
      <c r="S389" s="55">
        <v>0</v>
      </c>
      <c r="T389" s="55">
        <v>0</v>
      </c>
      <c r="U389" s="55">
        <v>0</v>
      </c>
      <c r="V389" s="55">
        <v>0</v>
      </c>
      <c r="W389" s="55">
        <v>0</v>
      </c>
      <c r="X389" s="55">
        <v>0</v>
      </c>
      <c r="AB389" s="8"/>
      <c r="AE389" s="8"/>
      <c r="AF389" s="8"/>
      <c r="AG389" s="8"/>
    </row>
    <row r="390" spans="1:33" s="11" customFormat="1" x14ac:dyDescent="0.2">
      <c r="A390" s="42" t="s">
        <v>30</v>
      </c>
      <c r="B390" s="42" t="s">
        <v>17</v>
      </c>
      <c r="C390" s="8"/>
      <c r="D390" s="8"/>
      <c r="F390" s="52" t="s">
        <v>450</v>
      </c>
      <c r="M390" s="55">
        <v>3.081</v>
      </c>
      <c r="N390" s="55">
        <v>-7.3319999999999999</v>
      </c>
      <c r="O390" s="55">
        <v>-10.59</v>
      </c>
      <c r="P390" s="55">
        <v>-11.005000000000001</v>
      </c>
      <c r="Q390" s="55">
        <v>-10.826000000000001</v>
      </c>
      <c r="R390" s="55">
        <v>-11.102</v>
      </c>
      <c r="S390" s="55">
        <v>-11.513</v>
      </c>
      <c r="T390" s="55">
        <v>-11.832000000000001</v>
      </c>
      <c r="U390" s="55">
        <v>-12.561</v>
      </c>
      <c r="V390" s="55">
        <v>-11.864000000000001</v>
      </c>
      <c r="W390" s="55">
        <v>-12.49</v>
      </c>
      <c r="X390" s="55">
        <v>-12.031000000000001</v>
      </c>
      <c r="AB390" s="8"/>
      <c r="AE390" s="8"/>
      <c r="AF390" s="8"/>
      <c r="AG390" s="8"/>
    </row>
    <row r="391" spans="1:33" s="11" customFormat="1" x14ac:dyDescent="0.2">
      <c r="A391" s="8"/>
      <c r="B391" s="8"/>
      <c r="C391" s="8"/>
      <c r="D391" s="8"/>
      <c r="F391" s="11" t="s">
        <v>490</v>
      </c>
      <c r="L391" s="54">
        <v>0</v>
      </c>
      <c r="M391" s="55" t="s">
        <v>481</v>
      </c>
      <c r="N391" s="55" t="s">
        <v>481</v>
      </c>
      <c r="O391" s="55" t="s">
        <v>481</v>
      </c>
      <c r="P391" s="55" t="s">
        <v>481</v>
      </c>
      <c r="Q391" s="55" t="s">
        <v>481</v>
      </c>
      <c r="R391" s="55" t="s">
        <v>481</v>
      </c>
      <c r="S391" s="55" t="s">
        <v>481</v>
      </c>
      <c r="T391" s="55" t="s">
        <v>481</v>
      </c>
      <c r="U391" s="55" t="s">
        <v>481</v>
      </c>
      <c r="V391" s="55" t="s">
        <v>481</v>
      </c>
      <c r="W391" s="55" t="s">
        <v>481</v>
      </c>
      <c r="X391" s="55">
        <v>-12.031000000000001</v>
      </c>
      <c r="AB391" s="8"/>
      <c r="AE391" s="8"/>
      <c r="AF391" s="8"/>
      <c r="AG391" s="8"/>
    </row>
    <row r="392" spans="1:33" s="2" customFormat="1" ht="12.75" x14ac:dyDescent="0.2">
      <c r="F392" s="1"/>
      <c r="K392" s="49"/>
      <c r="L392" s="49"/>
      <c r="AB392" s="8"/>
      <c r="AE392" s="8"/>
    </row>
    <row r="393" spans="1:33" s="2" customFormat="1" ht="12.75" x14ac:dyDescent="0.2">
      <c r="F393" s="1"/>
      <c r="K393" s="49"/>
      <c r="L393" s="49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AB393" s="8"/>
      <c r="AE393" s="8"/>
    </row>
    <row r="394" spans="1:33" s="2" customFormat="1" ht="12.75" x14ac:dyDescent="0.2">
      <c r="F394" s="1"/>
      <c r="K394" s="49"/>
      <c r="L394" s="49"/>
      <c r="AB394" s="8"/>
      <c r="AE394" s="8"/>
    </row>
    <row r="395" spans="1:33" s="2" customFormat="1" ht="12.75" x14ac:dyDescent="0.2">
      <c r="F395" s="1"/>
      <c r="K395" s="49"/>
      <c r="L395" s="49"/>
      <c r="AB395" s="8"/>
      <c r="AE395" s="8"/>
    </row>
    <row r="396" spans="1:33" s="2" customFormat="1" ht="12.75" x14ac:dyDescent="0.2">
      <c r="F396" s="1"/>
      <c r="K396" s="49"/>
      <c r="L396" s="49"/>
      <c r="R396" s="93"/>
      <c r="S396" s="93"/>
      <c r="T396" s="93"/>
      <c r="AB396" s="8"/>
      <c r="AE396" s="8"/>
    </row>
    <row r="397" spans="1:33" s="2" customFormat="1" ht="12.75" x14ac:dyDescent="0.2">
      <c r="F397" s="1"/>
      <c r="K397" s="49"/>
      <c r="L397" s="49"/>
      <c r="AB397" s="8"/>
      <c r="AE397" s="8"/>
    </row>
    <row r="398" spans="1:33" s="2" customFormat="1" ht="12.75" x14ac:dyDescent="0.2">
      <c r="F398" s="1"/>
      <c r="K398" s="49"/>
      <c r="L398" s="49"/>
      <c r="AB398" s="8"/>
      <c r="AE398" s="8"/>
    </row>
    <row r="399" spans="1:33" s="2" customFormat="1" ht="12.75" x14ac:dyDescent="0.2">
      <c r="F399" s="1"/>
      <c r="K399" s="49"/>
      <c r="L399" s="49"/>
      <c r="AB399" s="8"/>
      <c r="AE399" s="8"/>
    </row>
    <row r="400" spans="1:33" s="2" customFormat="1" ht="12.75" x14ac:dyDescent="0.2">
      <c r="F400" s="1"/>
      <c r="K400" s="49"/>
      <c r="L400" s="49"/>
      <c r="AB400" s="8"/>
      <c r="AE400" s="8"/>
    </row>
    <row r="401" spans="6:31" s="2" customFormat="1" ht="12.75" x14ac:dyDescent="0.2">
      <c r="F401" s="1"/>
      <c r="K401" s="49"/>
      <c r="L401" s="49"/>
      <c r="AB401" s="8"/>
      <c r="AE401" s="8"/>
    </row>
    <row r="402" spans="6:31" s="2" customFormat="1" ht="12.75" x14ac:dyDescent="0.2">
      <c r="F402" s="1"/>
      <c r="K402" s="49"/>
      <c r="L402" s="49"/>
      <c r="AB402" s="8"/>
      <c r="AE402" s="8"/>
    </row>
    <row r="403" spans="6:31" s="2" customFormat="1" x14ac:dyDescent="0.2">
      <c r="F403" s="1"/>
      <c r="K403" s="49"/>
      <c r="L403" s="49"/>
      <c r="AB403" s="8"/>
      <c r="AE403" s="3"/>
    </row>
    <row r="404" spans="6:31" s="2" customFormat="1" x14ac:dyDescent="0.2">
      <c r="F404" s="1"/>
      <c r="K404" s="49"/>
      <c r="L404" s="49"/>
      <c r="AB404" s="3"/>
      <c r="AE404" s="3"/>
    </row>
    <row r="405" spans="6:31" s="2" customFormat="1" x14ac:dyDescent="0.2">
      <c r="F405" s="1"/>
      <c r="K405" s="49"/>
      <c r="L405" s="49"/>
      <c r="AB405" s="3"/>
      <c r="AE405" s="3"/>
    </row>
    <row r="406" spans="6:31" s="2" customFormat="1" x14ac:dyDescent="0.2">
      <c r="F406" s="1"/>
      <c r="K406" s="49"/>
      <c r="L406" s="49"/>
      <c r="AB406" s="3"/>
      <c r="AE406" s="3"/>
    </row>
    <row r="407" spans="6:31" s="2" customFormat="1" x14ac:dyDescent="0.2">
      <c r="F407" s="1"/>
      <c r="K407" s="49"/>
      <c r="L407" s="49"/>
      <c r="AB407" s="3"/>
      <c r="AE407" s="3"/>
    </row>
    <row r="408" spans="6:31" s="2" customFormat="1" x14ac:dyDescent="0.2">
      <c r="F408" s="1"/>
      <c r="K408" s="49"/>
      <c r="L408" s="49"/>
      <c r="AB408" s="3"/>
      <c r="AE408" s="3"/>
    </row>
    <row r="409" spans="6:31" s="2" customFormat="1" x14ac:dyDescent="0.2">
      <c r="F409" s="1"/>
      <c r="K409" s="49"/>
      <c r="L409" s="49"/>
      <c r="AB409" s="3"/>
      <c r="AE409" s="3"/>
    </row>
    <row r="410" spans="6:31" s="2" customFormat="1" x14ac:dyDescent="0.2">
      <c r="F410" s="1"/>
      <c r="K410" s="49"/>
      <c r="L410" s="49"/>
      <c r="AB410" s="3"/>
      <c r="AE410" s="3"/>
    </row>
    <row r="411" spans="6:31" s="2" customFormat="1" x14ac:dyDescent="0.2">
      <c r="F411" s="1"/>
      <c r="K411" s="49"/>
      <c r="L411" s="49"/>
      <c r="AB411" s="3"/>
      <c r="AE411" s="3"/>
    </row>
    <row r="412" spans="6:31" s="2" customFormat="1" x14ac:dyDescent="0.2">
      <c r="F412" s="1"/>
      <c r="K412" s="49"/>
      <c r="L412" s="49"/>
      <c r="AB412" s="3"/>
      <c r="AE412" s="3"/>
    </row>
    <row r="413" spans="6:31" s="2" customFormat="1" x14ac:dyDescent="0.2">
      <c r="F413" s="1"/>
      <c r="K413" s="49"/>
      <c r="L413" s="49"/>
      <c r="AB413" s="3"/>
      <c r="AE413" s="3"/>
    </row>
    <row r="414" spans="6:31" s="2" customFormat="1" x14ac:dyDescent="0.2">
      <c r="F414" s="1"/>
      <c r="K414" s="49"/>
      <c r="L414" s="49"/>
      <c r="AB414" s="3"/>
      <c r="AE414" s="3"/>
    </row>
    <row r="415" spans="6:31" s="2" customFormat="1" x14ac:dyDescent="0.2">
      <c r="F415" s="1"/>
      <c r="K415" s="49"/>
      <c r="L415" s="49"/>
      <c r="AB415" s="3"/>
      <c r="AE415" s="3"/>
    </row>
    <row r="416" spans="6:31" s="2" customFormat="1" x14ac:dyDescent="0.2">
      <c r="F416" s="1"/>
      <c r="K416" s="49"/>
      <c r="L416" s="49"/>
      <c r="AB416" s="3"/>
      <c r="AE416" s="3"/>
    </row>
    <row r="417" spans="6:31" s="2" customFormat="1" x14ac:dyDescent="0.2">
      <c r="F417" s="1"/>
      <c r="K417" s="49"/>
      <c r="L417" s="49"/>
      <c r="AB417" s="3"/>
      <c r="AE417" s="3"/>
    </row>
    <row r="418" spans="6:31" s="2" customFormat="1" x14ac:dyDescent="0.2">
      <c r="F418" s="1"/>
      <c r="K418" s="49"/>
      <c r="L418" s="49"/>
      <c r="AB418" s="3"/>
      <c r="AE418" s="3"/>
    </row>
    <row r="419" spans="6:31" s="2" customFormat="1" x14ac:dyDescent="0.2">
      <c r="F419" s="1"/>
      <c r="K419" s="49"/>
      <c r="L419" s="49"/>
      <c r="AB419" s="3"/>
      <c r="AE419" s="3"/>
    </row>
    <row r="420" spans="6:31" s="2" customFormat="1" x14ac:dyDescent="0.2">
      <c r="F420" s="1"/>
      <c r="K420" s="49"/>
      <c r="L420" s="49"/>
      <c r="AB420" s="3"/>
      <c r="AE420" s="3"/>
    </row>
    <row r="421" spans="6:31" s="2" customFormat="1" x14ac:dyDescent="0.2">
      <c r="F421" s="1"/>
      <c r="K421" s="49"/>
      <c r="L421" s="49"/>
      <c r="AB421" s="3"/>
      <c r="AE421" s="3"/>
    </row>
    <row r="422" spans="6:31" s="2" customFormat="1" x14ac:dyDescent="0.2">
      <c r="F422" s="1"/>
      <c r="K422" s="49"/>
      <c r="L422" s="49"/>
      <c r="AB422" s="3"/>
      <c r="AE422" s="3"/>
    </row>
    <row r="423" spans="6:31" s="2" customFormat="1" x14ac:dyDescent="0.2">
      <c r="F423" s="1"/>
      <c r="K423" s="49"/>
      <c r="L423" s="49"/>
      <c r="AB423" s="3"/>
      <c r="AE423" s="3"/>
    </row>
    <row r="424" spans="6:31" s="2" customFormat="1" x14ac:dyDescent="0.2">
      <c r="F424" s="1"/>
      <c r="K424" s="49"/>
      <c r="L424" s="49"/>
      <c r="AB424" s="3"/>
      <c r="AE424" s="3"/>
    </row>
    <row r="425" spans="6:31" s="2" customFormat="1" x14ac:dyDescent="0.2">
      <c r="F425" s="1"/>
      <c r="K425" s="49"/>
      <c r="L425" s="49"/>
      <c r="AB425" s="3"/>
      <c r="AE425" s="3"/>
    </row>
    <row r="426" spans="6:31" s="2" customFormat="1" x14ac:dyDescent="0.2">
      <c r="F426" s="1"/>
      <c r="K426" s="49"/>
      <c r="L426" s="49"/>
      <c r="AB426" s="3"/>
      <c r="AE426" s="3"/>
    </row>
    <row r="427" spans="6:31" s="2" customFormat="1" x14ac:dyDescent="0.2">
      <c r="F427" s="1"/>
      <c r="K427" s="49"/>
      <c r="L427" s="49"/>
      <c r="AB427" s="3"/>
      <c r="AE427" s="3"/>
    </row>
    <row r="428" spans="6:31" s="2" customFormat="1" x14ac:dyDescent="0.2">
      <c r="F428" s="1"/>
      <c r="K428" s="49"/>
      <c r="L428" s="49"/>
      <c r="AB428" s="3"/>
      <c r="AE428" s="3"/>
    </row>
    <row r="429" spans="6:31" s="2" customFormat="1" x14ac:dyDescent="0.2">
      <c r="F429" s="1"/>
      <c r="K429" s="49"/>
      <c r="L429" s="49"/>
      <c r="AB429" s="3"/>
      <c r="AE429" s="3"/>
    </row>
    <row r="430" spans="6:31" s="2" customFormat="1" x14ac:dyDescent="0.2">
      <c r="F430" s="1"/>
      <c r="K430" s="49"/>
      <c r="L430" s="49"/>
      <c r="AB430" s="3"/>
      <c r="AE430" s="3"/>
    </row>
    <row r="431" spans="6:31" s="2" customFormat="1" x14ac:dyDescent="0.2">
      <c r="F431" s="1"/>
      <c r="K431" s="49"/>
      <c r="L431" s="49"/>
      <c r="AB431" s="3"/>
      <c r="AE431" s="3"/>
    </row>
    <row r="432" spans="6:31" s="2" customFormat="1" x14ac:dyDescent="0.2">
      <c r="F432" s="1"/>
      <c r="K432" s="49"/>
      <c r="L432" s="49"/>
      <c r="AB432" s="3"/>
      <c r="AE432" s="3"/>
    </row>
    <row r="433" spans="6:31" s="2" customFormat="1" x14ac:dyDescent="0.2">
      <c r="F433" s="1"/>
      <c r="K433" s="49"/>
      <c r="L433" s="49"/>
      <c r="AB433" s="3"/>
      <c r="AE433" s="3"/>
    </row>
    <row r="434" spans="6:31" s="2" customFormat="1" x14ac:dyDescent="0.2">
      <c r="F434" s="1"/>
      <c r="K434" s="49"/>
      <c r="L434" s="49"/>
      <c r="AB434" s="3"/>
      <c r="AE434" s="3"/>
    </row>
    <row r="435" spans="6:31" s="2" customFormat="1" x14ac:dyDescent="0.2">
      <c r="F435" s="1"/>
      <c r="K435" s="49"/>
      <c r="L435" s="49"/>
      <c r="AB435" s="3"/>
      <c r="AE435" s="3"/>
    </row>
  </sheetData>
  <mergeCells count="5">
    <mergeCell ref="F9:F10"/>
    <mergeCell ref="AA9:AA10"/>
    <mergeCell ref="AB9:AB10"/>
    <mergeCell ref="AD9:AD10"/>
    <mergeCell ref="AE9:AE10"/>
  </mergeCells>
  <conditionalFormatting sqref="AC299:AC347 AC381 AC384:AC391 AE1:AE299 AE301 AE303:AE1048576">
    <cfRule type="expression" dxfId="59" priority="58" stopIfTrue="1">
      <formula>($D1&gt;0)</formula>
    </cfRule>
    <cfRule type="expression" dxfId="58" priority="59" stopIfTrue="1">
      <formula>AND($D1&lt;0,$D1&gt;=$AE$2)</formula>
    </cfRule>
    <cfRule type="expression" dxfId="57" priority="60" stopIfTrue="1">
      <formula>($D1&lt;$AE$2)</formula>
    </cfRule>
  </conditionalFormatting>
  <conditionalFormatting sqref="AB1:AB1048576">
    <cfRule type="expression" dxfId="56" priority="55" stopIfTrue="1">
      <formula>($C1&gt;0)</formula>
    </cfRule>
    <cfRule type="expression" dxfId="55" priority="56" stopIfTrue="1">
      <formula>AND($C1&lt;0,$C1&gt;=$AB$2)</formula>
    </cfRule>
    <cfRule type="expression" dxfId="54" priority="57" stopIfTrue="1">
      <formula>($C1&lt;$AB$2)</formula>
    </cfRule>
  </conditionalFormatting>
  <conditionalFormatting sqref="AB9:AB10">
    <cfRule type="expression" dxfId="53" priority="52" stopIfTrue="1">
      <formula>($C9&gt;0)</formula>
    </cfRule>
    <cfRule type="expression" dxfId="52" priority="53" stopIfTrue="1">
      <formula>AND($C9&lt;0,$C9&gt;=$AB$2)</formula>
    </cfRule>
    <cfRule type="expression" dxfId="51" priority="54" stopIfTrue="1">
      <formula>($C9&lt;$AB$2)</formula>
    </cfRule>
  </conditionalFormatting>
  <conditionalFormatting sqref="AE9:AE10">
    <cfRule type="expression" dxfId="50" priority="49" stopIfTrue="1">
      <formula>($D9&gt;0)</formula>
    </cfRule>
    <cfRule type="expression" dxfId="49" priority="50" stopIfTrue="1">
      <formula>AND($D9&lt;0,$D9&gt;=$AE$2)</formula>
    </cfRule>
    <cfRule type="expression" dxfId="48" priority="51" stopIfTrue="1">
      <formula>($D9&lt;$AE$2)</formula>
    </cfRule>
  </conditionalFormatting>
  <conditionalFormatting sqref="AB9:AB10">
    <cfRule type="expression" dxfId="47" priority="46" stopIfTrue="1">
      <formula>($C9&gt;0)</formula>
    </cfRule>
    <cfRule type="expression" dxfId="46" priority="47" stopIfTrue="1">
      <formula>AND($C9&lt;0,$C9&gt;=$AB$2)</formula>
    </cfRule>
    <cfRule type="expression" dxfId="45" priority="48" stopIfTrue="1">
      <formula>($C9&lt;$AB$2)</formula>
    </cfRule>
  </conditionalFormatting>
  <conditionalFormatting sqref="AE9:AE10">
    <cfRule type="expression" dxfId="44" priority="43" stopIfTrue="1">
      <formula>($D9&gt;0)</formula>
    </cfRule>
    <cfRule type="expression" dxfId="43" priority="44" stopIfTrue="1">
      <formula>AND($D9&lt;0,$D9&gt;=$AE$2)</formula>
    </cfRule>
    <cfRule type="expression" dxfId="42" priority="45" stopIfTrue="1">
      <formula>($D9&lt;$AE$2)</formula>
    </cfRule>
  </conditionalFormatting>
  <conditionalFormatting sqref="AD366">
    <cfRule type="expression" dxfId="41" priority="40" stopIfTrue="1">
      <formula>($D366&gt;0)</formula>
    </cfRule>
    <cfRule type="expression" dxfId="40" priority="41" stopIfTrue="1">
      <formula>AND($D366&lt;0,$D366&gt;=$AE$2)</formula>
    </cfRule>
    <cfRule type="expression" dxfId="39" priority="42" stopIfTrue="1">
      <formula>($D366&lt;$AE$2)</formula>
    </cfRule>
  </conditionalFormatting>
  <conditionalFormatting sqref="AD369">
    <cfRule type="expression" dxfId="38" priority="37" stopIfTrue="1">
      <formula>($D369&gt;0)</formula>
    </cfRule>
    <cfRule type="expression" dxfId="37" priority="38" stopIfTrue="1">
      <formula>AND($D369&lt;0,$D369&gt;=$AE$2)</formula>
    </cfRule>
    <cfRule type="expression" dxfId="36" priority="39" stopIfTrue="1">
      <formula>($D369&lt;$AE$2)</formula>
    </cfRule>
  </conditionalFormatting>
  <conditionalFormatting sqref="AE140">
    <cfRule type="expression" dxfId="35" priority="34" stopIfTrue="1">
      <formula>($D140&gt;0)</formula>
    </cfRule>
    <cfRule type="expression" dxfId="34" priority="35" stopIfTrue="1">
      <formula>AND($D140&lt;0,$D140&gt;=$AE$2)</formula>
    </cfRule>
    <cfRule type="expression" dxfId="33" priority="36" stopIfTrue="1">
      <formula>($D140&lt;$AE$2)</formula>
    </cfRule>
  </conditionalFormatting>
  <conditionalFormatting sqref="AB140">
    <cfRule type="expression" dxfId="32" priority="31" stopIfTrue="1">
      <formula>($C140&gt;0)</formula>
    </cfRule>
    <cfRule type="expression" dxfId="31" priority="32" stopIfTrue="1">
      <formula>AND($C140&lt;0,$C140&gt;=$AB$2)</formula>
    </cfRule>
    <cfRule type="expression" dxfId="30" priority="33" stopIfTrue="1">
      <formula>($C140&lt;$AB$2)</formula>
    </cfRule>
  </conditionalFormatting>
  <conditionalFormatting sqref="AE140">
    <cfRule type="expression" dxfId="29" priority="28" stopIfTrue="1">
      <formula>($D140&gt;0)</formula>
    </cfRule>
    <cfRule type="expression" dxfId="28" priority="29" stopIfTrue="1">
      <formula>AND($D140&lt;0,$D140&gt;=$AE$2)</formula>
    </cfRule>
    <cfRule type="expression" dxfId="27" priority="30" stopIfTrue="1">
      <formula>($D140&lt;$AE$2)</formula>
    </cfRule>
  </conditionalFormatting>
  <conditionalFormatting sqref="AB140">
    <cfRule type="expression" dxfId="26" priority="25" stopIfTrue="1">
      <formula>($C140&gt;0)</formula>
    </cfRule>
    <cfRule type="expression" dxfId="25" priority="26" stopIfTrue="1">
      <formula>AND($C140&lt;0,$C140&gt;=$AB$2)</formula>
    </cfRule>
    <cfRule type="expression" dxfId="24" priority="27" stopIfTrue="1">
      <formula>($C140&lt;$AB$2)</formula>
    </cfRule>
  </conditionalFormatting>
  <conditionalFormatting sqref="AE140">
    <cfRule type="expression" dxfId="23" priority="22" stopIfTrue="1">
      <formula>($D140&gt;0)</formula>
    </cfRule>
    <cfRule type="expression" dxfId="22" priority="23" stopIfTrue="1">
      <formula>AND($D140&lt;0,$D140&gt;=$AE$2)</formula>
    </cfRule>
    <cfRule type="expression" dxfId="21" priority="24" stopIfTrue="1">
      <formula>($D140&lt;$AE$2)</formula>
    </cfRule>
  </conditionalFormatting>
  <conditionalFormatting sqref="AB140">
    <cfRule type="expression" dxfId="20" priority="19" stopIfTrue="1">
      <formula>($C140&gt;0)</formula>
    </cfRule>
    <cfRule type="expression" dxfId="19" priority="20" stopIfTrue="1">
      <formula>AND($C140&lt;0,$C140&gt;=$AB$2)</formula>
    </cfRule>
    <cfRule type="expression" dxfId="18" priority="21" stopIfTrue="1">
      <formula>($C140&lt;$AB$2)</formula>
    </cfRule>
  </conditionalFormatting>
  <conditionalFormatting sqref="AB230">
    <cfRule type="expression" dxfId="17" priority="16" stopIfTrue="1">
      <formula>($C230&gt;0)</formula>
    </cfRule>
    <cfRule type="expression" dxfId="16" priority="17" stopIfTrue="1">
      <formula>AND($C230&lt;0,$C230&gt;=$AB$2)</formula>
    </cfRule>
    <cfRule type="expression" dxfId="15" priority="18" stopIfTrue="1">
      <formula>($C230&lt;$AB$2)</formula>
    </cfRule>
  </conditionalFormatting>
  <conditionalFormatting sqref="AE230">
    <cfRule type="expression" dxfId="14" priority="13" stopIfTrue="1">
      <formula>($D230&gt;0)</formula>
    </cfRule>
    <cfRule type="expression" dxfId="13" priority="14" stopIfTrue="1">
      <formula>AND($D230&lt;0,$D230&gt;=$AE$2)</formula>
    </cfRule>
    <cfRule type="expression" dxfId="12" priority="15" stopIfTrue="1">
      <formula>($D230&lt;$AE$2)</formula>
    </cfRule>
  </conditionalFormatting>
  <conditionalFormatting sqref="AB230">
    <cfRule type="expression" dxfId="11" priority="10" stopIfTrue="1">
      <formula>($C230&gt;0)</formula>
    </cfRule>
    <cfRule type="expression" dxfId="10" priority="11" stopIfTrue="1">
      <formula>AND($C230&lt;0,$C230&gt;=$AB$2)</formula>
    </cfRule>
    <cfRule type="expression" dxfId="9" priority="12" stopIfTrue="1">
      <formula>($C230&lt;$AB$2)</formula>
    </cfRule>
  </conditionalFormatting>
  <conditionalFormatting sqref="AE230">
    <cfRule type="expression" dxfId="8" priority="7" stopIfTrue="1">
      <formula>($D230&gt;0)</formula>
    </cfRule>
    <cfRule type="expression" dxfId="7" priority="8" stopIfTrue="1">
      <formula>AND($D230&lt;0,$D230&gt;=$AE$2)</formula>
    </cfRule>
    <cfRule type="expression" dxfId="6" priority="9" stopIfTrue="1">
      <formula>($D230&lt;$AE$2)</formula>
    </cfRule>
  </conditionalFormatting>
  <conditionalFormatting sqref="AE300">
    <cfRule type="expression" dxfId="5" priority="4" stopIfTrue="1">
      <formula>($D300&gt;0)</formula>
    </cfRule>
    <cfRule type="expression" dxfId="4" priority="5" stopIfTrue="1">
      <formula>AND($D300&lt;0,$D300&gt;=$AE$2)</formula>
    </cfRule>
    <cfRule type="expression" dxfId="3" priority="6" stopIfTrue="1">
      <formula>($D300&lt;$AE$2)</formula>
    </cfRule>
  </conditionalFormatting>
  <conditionalFormatting sqref="AE302">
    <cfRule type="expression" dxfId="2" priority="1" stopIfTrue="1">
      <formula>($D302&gt;0)</formula>
    </cfRule>
    <cfRule type="expression" dxfId="1" priority="2" stopIfTrue="1">
      <formula>AND($D302&lt;0,$D302&gt;=$AE$2)</formula>
    </cfRule>
    <cfRule type="expression" dxfId="0" priority="3" stopIfTrue="1">
      <formula>($D302&lt;$AE$2)</formula>
    </cfRule>
  </conditionalFormatting>
  <printOptions horizontalCentered="1"/>
  <pageMargins left="0" right="0" top="0" bottom="0" header="0.11811023622047245" footer="7.874015748031496E-2"/>
  <pageSetup paperSize="9" scale="44" fitToHeight="2" orientation="portrait" r:id="rId1"/>
  <headerFooter alignWithMargins="0">
    <oddHeader>&amp;CFICHE SUIVEUSE&amp;R&amp;D - &amp;T</oddHeader>
  </headerFooter>
  <rowBreaks count="1" manualBreakCount="1">
    <brk id="201" min="5" max="2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22</vt:i4>
      </vt:variant>
    </vt:vector>
  </HeadingPairs>
  <TitlesOfParts>
    <vt:vector size="33" baseType="lpstr">
      <vt:lpstr>Contrôle</vt:lpstr>
      <vt:lpstr>Secteur Robinetterie</vt:lpstr>
      <vt:lpstr>Secteur Rob.Public</vt:lpstr>
      <vt:lpstr>Bonneuil</vt:lpstr>
      <vt:lpstr>Stains</vt:lpstr>
      <vt:lpstr>Buc</vt:lpstr>
      <vt:lpstr>Vaux Le Pénil</vt:lpstr>
      <vt:lpstr>Réseaux-DAAF</vt:lpstr>
      <vt:lpstr>Secteur Rob.Privée</vt:lpstr>
      <vt:lpstr>Montlouis</vt:lpstr>
      <vt:lpstr>Sani</vt:lpstr>
      <vt:lpstr>Bonneuil!Impression_des_titres</vt:lpstr>
      <vt:lpstr>Buc!Impression_des_titres</vt:lpstr>
      <vt:lpstr>Contrôle!Impression_des_titres</vt:lpstr>
      <vt:lpstr>Montlouis!Impression_des_titres</vt:lpstr>
      <vt:lpstr>'Réseaux-DAAF'!Impression_des_titres</vt:lpstr>
      <vt:lpstr>Sani!Impression_des_titres</vt:lpstr>
      <vt:lpstr>'Secteur Rob.Privée'!Impression_des_titres</vt:lpstr>
      <vt:lpstr>'Secteur Rob.Public'!Impression_des_titres</vt:lpstr>
      <vt:lpstr>'Secteur Robinetterie'!Impression_des_titres</vt:lpstr>
      <vt:lpstr>Stains!Impression_des_titres</vt:lpstr>
      <vt:lpstr>'Vaux Le Pénil'!Impression_des_titres</vt:lpstr>
      <vt:lpstr>Bonneuil!Zone_d_impression</vt:lpstr>
      <vt:lpstr>Buc!Zone_d_impression</vt:lpstr>
      <vt:lpstr>Contrôle!Zone_d_impression</vt:lpstr>
      <vt:lpstr>Montlouis!Zone_d_impression</vt:lpstr>
      <vt:lpstr>'Réseaux-DAAF'!Zone_d_impression</vt:lpstr>
      <vt:lpstr>Sani!Zone_d_impression</vt:lpstr>
      <vt:lpstr>'Secteur Rob.Privée'!Zone_d_impression</vt:lpstr>
      <vt:lpstr>'Secteur Rob.Public'!Zone_d_impression</vt:lpstr>
      <vt:lpstr>'Secteur Robinetterie'!Zone_d_impression</vt:lpstr>
      <vt:lpstr>Stains!Zone_d_impression</vt:lpstr>
      <vt:lpstr>'Vaux Le Pénil'!Zone_d_impression</vt:lpstr>
    </vt:vector>
  </TitlesOfParts>
  <Company>PROXISERVE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mhorta</dc:creator>
  <cp:lastModifiedBy>IVANOVIC, Filip</cp:lastModifiedBy>
  <cp:lastPrinted>2017-02-14T10:18:06Z</cp:lastPrinted>
  <dcterms:created xsi:type="dcterms:W3CDTF">2010-02-18T12:54:33Z</dcterms:created>
  <dcterms:modified xsi:type="dcterms:W3CDTF">2024-01-18T08:28:21Z</dcterms:modified>
</cp:coreProperties>
</file>