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rpergc-my.sharepoint.com/personal/amackey_harpergc_com/Documents/"/>
    </mc:Choice>
  </mc:AlternateContent>
  <xr:revisionPtr revIDLastSave="1566" documentId="8_{44098731-DF0C-46E2-9F4C-56DF5C3732F0}" xr6:coauthVersionLast="47" xr6:coauthVersionMax="47" xr10:uidLastSave="{5F0FCAC4-D199-4589-BFA9-8F2383A973A1}"/>
  <bookViews>
    <workbookView xWindow="885" yWindow="1590" windowWidth="21600" windowHeight="11205" xr2:uid="{CB829447-BC8B-4CBE-8F93-9615C02353D8}"/>
  </bookViews>
  <sheets>
    <sheet name="Wire Calculator" sheetId="1" r:id="rId1"/>
    <sheet name="Conduit fill quick tak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B32" i="2"/>
  <c r="D31" i="2"/>
  <c r="F30" i="2"/>
  <c r="J8" i="1"/>
  <c r="J7" i="1"/>
  <c r="G12" i="1"/>
  <c r="G11" i="1"/>
  <c r="G26" i="1"/>
  <c r="G24" i="1"/>
  <c r="G20" i="1"/>
  <c r="G18" i="1"/>
  <c r="G13" i="1"/>
  <c r="G19" i="1"/>
  <c r="G25" i="1"/>
  <c r="G8" i="1"/>
</calcChain>
</file>

<file path=xl/sharedStrings.xml><?xml version="1.0" encoding="utf-8"?>
<sst xmlns="http://schemas.openxmlformats.org/spreadsheetml/2006/main" count="187" uniqueCount="100">
  <si>
    <t>GUAGE for AL</t>
  </si>
  <si>
    <t>OHMS PER 1K FEET</t>
  </si>
  <si>
    <t>GUAGE for CU</t>
  </si>
  <si>
    <t>CALCULATOR</t>
  </si>
  <si>
    <t>2000</t>
  </si>
  <si>
    <t>GUAGE</t>
  </si>
  <si>
    <t>TEST RESISTANCE in OHMS by meter</t>
  </si>
  <si>
    <t>Run Length in ft</t>
  </si>
  <si>
    <t>Amps to run through</t>
  </si>
  <si>
    <t>1750</t>
  </si>
  <si>
    <t>14</t>
  </si>
  <si>
    <t>1500</t>
  </si>
  <si>
    <t>1250</t>
  </si>
  <si>
    <t>OUTPUT TEST LENGTH IN FT</t>
  </si>
  <si>
    <t>Resistance of wire based on run length</t>
  </si>
  <si>
    <t>1000</t>
  </si>
  <si>
    <t>FT of COPPER</t>
  </si>
  <si>
    <t>Copper</t>
  </si>
  <si>
    <t>900</t>
  </si>
  <si>
    <t>FT of ALUMINUM</t>
  </si>
  <si>
    <t>Aluminium</t>
  </si>
  <si>
    <t>800</t>
  </si>
  <si>
    <t>750</t>
  </si>
  <si>
    <t>VOLTAGE DROP over single phase run (round)</t>
  </si>
  <si>
    <t>700</t>
  </si>
  <si>
    <t>Based on run Length</t>
  </si>
  <si>
    <t>600</t>
  </si>
  <si>
    <t>Based on test Length Resistance</t>
  </si>
  <si>
    <t>and amps</t>
  </si>
  <si>
    <t>500</t>
  </si>
  <si>
    <t>400</t>
  </si>
  <si>
    <t>350</t>
  </si>
  <si>
    <t>300</t>
  </si>
  <si>
    <t>250</t>
  </si>
  <si>
    <t>VOLTAGE DROP over 3 phase phase run (round)</t>
  </si>
  <si>
    <t>4/0</t>
  </si>
  <si>
    <t>3/0</t>
  </si>
  <si>
    <t>2/0</t>
  </si>
  <si>
    <t>1/0</t>
  </si>
  <si>
    <t>1</t>
  </si>
  <si>
    <t>2</t>
  </si>
  <si>
    <t>VOLTAGE DROP over one cable one way</t>
  </si>
  <si>
    <t>3</t>
  </si>
  <si>
    <t>4</t>
  </si>
  <si>
    <t>Based on result of resistance test</t>
  </si>
  <si>
    <t>6</t>
  </si>
  <si>
    <t>8</t>
  </si>
  <si>
    <t>10</t>
  </si>
  <si>
    <t>12</t>
  </si>
  <si>
    <t>key:</t>
  </si>
  <si>
    <t>Note</t>
  </si>
  <si>
    <t>Based on the test result</t>
  </si>
  <si>
    <t>16</t>
  </si>
  <si>
    <t>Based on the inputted run length</t>
  </si>
  <si>
    <t>18</t>
  </si>
  <si>
    <t>TABLE DATA</t>
  </si>
  <si>
    <t>Fill amount  allowed by code NEC 2020</t>
  </si>
  <si>
    <t>CONDUIT</t>
  </si>
  <si>
    <t>EMT</t>
  </si>
  <si>
    <t>ENT</t>
  </si>
  <si>
    <t>FMC</t>
  </si>
  <si>
    <t>IMC</t>
  </si>
  <si>
    <t>LFNC</t>
  </si>
  <si>
    <t>RMC</t>
  </si>
  <si>
    <t>PVC Schedule 80</t>
  </si>
  <si>
    <t>PVC Schedule 40</t>
  </si>
  <si>
    <t>PVC Type A</t>
  </si>
  <si>
    <t>PVC Type B</t>
  </si>
  <si>
    <t>3/8</t>
  </si>
  <si>
    <t>---</t>
  </si>
  <si>
    <t>1/2</t>
  </si>
  <si>
    <t>3/4</t>
  </si>
  <si>
    <t>1 1/4</t>
  </si>
  <si>
    <t>1 1/2</t>
  </si>
  <si>
    <t>2 1/2</t>
  </si>
  <si>
    <t>3 1/2</t>
  </si>
  <si>
    <t>5</t>
  </si>
  <si>
    <t>Size</t>
  </si>
  <si>
    <t>40%</t>
  </si>
  <si>
    <t>40%2</t>
  </si>
  <si>
    <t>40%4</t>
  </si>
  <si>
    <t>40%6</t>
  </si>
  <si>
    <t>40%8</t>
  </si>
  <si>
    <t>40%10</t>
  </si>
  <si>
    <t>40%12</t>
  </si>
  <si>
    <t>40%14</t>
  </si>
  <si>
    <t>40%16</t>
  </si>
  <si>
    <t>40%18</t>
  </si>
  <si>
    <t>WIRE TYPE/GUAGE</t>
  </si>
  <si>
    <t>THHN</t>
  </si>
  <si>
    <t>XHHW</t>
  </si>
  <si>
    <t>DATA ENTRY</t>
  </si>
  <si>
    <t>Fit chart -&gt; number</t>
  </si>
  <si>
    <t>Conduit choice</t>
  </si>
  <si>
    <t>Will it fit?</t>
  </si>
  <si>
    <t>Available room in coduit</t>
  </si>
  <si>
    <t>Total number of conductors</t>
  </si>
  <si>
    <t>Type</t>
  </si>
  <si>
    <t>100% -&gt;</t>
  </si>
  <si>
    <t>Total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</si>
</sst>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111111"/>
      <name val="Arial Unicode MS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49" fontId="0" fillId="5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2" fontId="0" fillId="6" borderId="1" xfId="0" applyNumberForma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9" fontId="0" fillId="8" borderId="1" xfId="0" applyNumberFormat="1" applyFill="1" applyBorder="1" applyAlignment="1">
      <alignment horizontal="center"/>
    </xf>
    <xf numFmtId="0" fontId="0" fillId="8" borderId="0" xfId="0" applyFill="1"/>
    <xf numFmtId="49" fontId="0" fillId="10" borderId="0" xfId="0" applyNumberFormat="1" applyFill="1" applyAlignment="1">
      <alignment horizontal="center"/>
    </xf>
    <xf numFmtId="49" fontId="0" fillId="8" borderId="0" xfId="0" applyNumberFormat="1" applyFill="1"/>
    <xf numFmtId="0" fontId="0" fillId="12" borderId="1" xfId="0" quotePrefix="1" applyFill="1" applyBorder="1" applyAlignment="1">
      <alignment horizontal="center"/>
    </xf>
    <xf numFmtId="49" fontId="0" fillId="9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6" borderId="1" xfId="0" applyFill="1" applyBorder="1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8" borderId="1" xfId="0" applyFill="1" applyBorder="1"/>
    <xf numFmtId="165" fontId="0" fillId="5" borderId="1" xfId="0" applyNumberForma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49" fontId="0" fillId="2" borderId="1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5" xfId="0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495380-C1F5-4070-8EF5-186D254AAE93}" name="Table1" displayName="Table1" ref="D2:E32" totalsRowShown="0" dataDxfId="9" headerRowCellStyle="Normal" dataCellStyle="Normal">
  <autoFilter ref="D2:E32" xr:uid="{05495380-C1F5-4070-8EF5-186D254AAE93}"/>
  <tableColumns count="2">
    <tableColumn id="1" xr3:uid="{C1E272CD-2608-4FEA-A399-3320F30146BF}" name="GUAGE for CU" dataDxfId="8" dataCellStyle="Normal"/>
    <tableColumn id="2" xr3:uid="{78D9A451-CA4E-45F3-86E1-111966CBF2D8}" name="OHMS PER 1K FEET" dataDxfId="7" dataCellStyle="Norma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C32393-70BB-4420-9231-A23848C1A8EC}" name="Table2" displayName="Table2" ref="B2:C32" totalsRowShown="0" dataDxfId="6">
  <autoFilter ref="B2:C32" xr:uid="{AFC32393-70BB-4420-9231-A23848C1A8EC}"/>
  <tableColumns count="2">
    <tableColumn id="1" xr3:uid="{297AC180-F457-45E7-AAEA-C89809DDEB3E}" name="GUAGE for AL" dataDxfId="5"/>
    <tableColumn id="2" xr3:uid="{B0DC5AF9-818D-4255-8E3B-FE0A6F76819C}" name="OHMS PER 1K FEET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876C9-7353-4FBF-9650-CD88C0380CA6}">
  <dimension ref="B2:K32"/>
  <sheetViews>
    <sheetView tabSelected="1" topLeftCell="G1" workbookViewId="0">
      <selection activeCell="H5" sqref="H5"/>
    </sheetView>
  </sheetViews>
  <sheetFormatPr defaultRowHeight="15"/>
  <cols>
    <col min="1" max="1" width="17.85546875" customWidth="1"/>
    <col min="2" max="2" width="15.5703125" bestFit="1" customWidth="1"/>
    <col min="3" max="3" width="19.85546875" bestFit="1" customWidth="1"/>
    <col min="4" max="4" width="16" bestFit="1" customWidth="1"/>
    <col min="5" max="5" width="19.85546875" bestFit="1" customWidth="1"/>
    <col min="6" max="6" width="12.28515625" bestFit="1" customWidth="1"/>
    <col min="7" max="7" width="29.85546875" bestFit="1" customWidth="1"/>
    <col min="8" max="8" width="33.140625" bestFit="1" customWidth="1"/>
    <col min="9" max="9" width="17.7109375" customWidth="1"/>
    <col min="10" max="10" width="33.140625" bestFit="1" customWidth="1"/>
    <col min="11" max="11" width="10.85546875" bestFit="1" customWidth="1"/>
  </cols>
  <sheetData>
    <row r="2" spans="2:11">
      <c r="B2" s="5" t="s">
        <v>0</v>
      </c>
      <c r="C2" t="s">
        <v>1</v>
      </c>
      <c r="D2" s="4" t="s">
        <v>2</v>
      </c>
      <c r="E2" t="s">
        <v>1</v>
      </c>
      <c r="G2" s="55" t="s">
        <v>3</v>
      </c>
      <c r="H2" s="55"/>
      <c r="I2" s="55"/>
      <c r="J2" s="55"/>
    </row>
    <row r="3" spans="2:11">
      <c r="B3" s="10" t="s">
        <v>4</v>
      </c>
      <c r="C3" s="35">
        <v>1.06E-2</v>
      </c>
      <c r="D3" s="9" t="s">
        <v>4</v>
      </c>
      <c r="E3" s="35">
        <v>6.62E-3</v>
      </c>
      <c r="G3" s="32" t="s">
        <v>5</v>
      </c>
      <c r="H3" s="33" t="s">
        <v>6</v>
      </c>
      <c r="I3" s="34" t="s">
        <v>7</v>
      </c>
      <c r="J3" s="32" t="s">
        <v>8</v>
      </c>
    </row>
    <row r="4" spans="2:11">
      <c r="B4" s="10" t="s">
        <v>9</v>
      </c>
      <c r="C4" s="35">
        <v>1.21E-2</v>
      </c>
      <c r="D4" s="9" t="s">
        <v>9</v>
      </c>
      <c r="E4" s="35">
        <v>7.5599999999999999E-3</v>
      </c>
      <c r="G4" s="7" t="s">
        <v>10</v>
      </c>
      <c r="H4" s="47">
        <v>0.4</v>
      </c>
      <c r="I4" s="31">
        <v>200</v>
      </c>
      <c r="J4" s="31">
        <v>20</v>
      </c>
    </row>
    <row r="5" spans="2:11">
      <c r="B5" s="10" t="s">
        <v>11</v>
      </c>
      <c r="C5" s="35">
        <v>1.41E-2</v>
      </c>
      <c r="D5" s="9" t="s">
        <v>11</v>
      </c>
      <c r="E5" s="35">
        <v>8.8299999999999993E-3</v>
      </c>
      <c r="G5" s="3"/>
      <c r="H5" s="3"/>
    </row>
    <row r="6" spans="2:11">
      <c r="B6" s="10" t="s">
        <v>12</v>
      </c>
      <c r="C6" s="35">
        <v>1.6899999999999998E-2</v>
      </c>
      <c r="D6" s="9" t="s">
        <v>12</v>
      </c>
      <c r="E6" s="35">
        <v>1.06E-2</v>
      </c>
      <c r="G6" s="55" t="s">
        <v>13</v>
      </c>
      <c r="H6" s="55"/>
      <c r="J6" s="48" t="s">
        <v>14</v>
      </c>
    </row>
    <row r="7" spans="2:11">
      <c r="B7" s="10" t="s">
        <v>15</v>
      </c>
      <c r="C7" s="35">
        <v>2.12E-2</v>
      </c>
      <c r="D7" s="9" t="s">
        <v>15</v>
      </c>
      <c r="E7" s="35">
        <v>1.32E-2</v>
      </c>
      <c r="G7" s="52">
        <f>((H4/(_xlfn.XLOOKUP(G4,Table1[GUAGE for CU],Table1[OHMS PER 1K FEET])))*1000)</f>
        <v>122.6993865030675</v>
      </c>
      <c r="H7" s="4" t="s">
        <v>16</v>
      </c>
      <c r="I7" s="2"/>
      <c r="J7" s="7">
        <f>I4*(_xlfn.XLOOKUP(G4,Table1[GUAGE for CU],Table1[OHMS PER 1K FEET])/1000)</f>
        <v>0.65200000000000002</v>
      </c>
      <c r="K7" s="46" t="s">
        <v>17</v>
      </c>
    </row>
    <row r="8" spans="2:11">
      <c r="B8" s="10" t="s">
        <v>18</v>
      </c>
      <c r="C8" s="35">
        <v>2.35E-2</v>
      </c>
      <c r="D8" s="9" t="s">
        <v>18</v>
      </c>
      <c r="E8" s="35">
        <v>1.47E-2</v>
      </c>
      <c r="G8" s="10">
        <f>((H4/(_xlfn.XLOOKUP(G4,Table2[GUAGE for AL],Table2[OHMS PER 1K FEET])))*1000)</f>
        <v>77.369439071566731</v>
      </c>
      <c r="H8" s="5" t="s">
        <v>19</v>
      </c>
      <c r="J8" s="7">
        <f>I4*(_xlfn.XLOOKUP(G4,Table2[GUAGE for AL],Table2[OHMS PER 1K FEET])/1000)</f>
        <v>1.034</v>
      </c>
      <c r="K8" s="6" t="s">
        <v>20</v>
      </c>
    </row>
    <row r="9" spans="2:11">
      <c r="B9" s="10" t="s">
        <v>21</v>
      </c>
      <c r="C9" s="35">
        <v>2.6499999999999999E-2</v>
      </c>
      <c r="D9" s="9" t="s">
        <v>21</v>
      </c>
      <c r="E9" s="35">
        <v>1.66E-2</v>
      </c>
      <c r="H9" s="2"/>
    </row>
    <row r="10" spans="2:11">
      <c r="B10" s="10" t="s">
        <v>22</v>
      </c>
      <c r="C10" s="35">
        <v>2.8199999999999999E-2</v>
      </c>
      <c r="D10" s="9" t="s">
        <v>22</v>
      </c>
      <c r="E10" s="35">
        <v>1.7600000000000001E-2</v>
      </c>
      <c r="G10" s="53" t="s">
        <v>23</v>
      </c>
      <c r="H10" s="54"/>
    </row>
    <row r="11" spans="2:11">
      <c r="B11" s="10" t="s">
        <v>24</v>
      </c>
      <c r="C11" s="35">
        <v>3.0300000000000001E-2</v>
      </c>
      <c r="D11" s="9" t="s">
        <v>24</v>
      </c>
      <c r="E11" s="35">
        <v>1.89E-2</v>
      </c>
      <c r="G11" s="9">
        <f>2*J4*I4*(_xlfn.XLOOKUP(G4,Table1[GUAGE for CU],Table1[OHMS PER 1K FEET])/1000)</f>
        <v>26.08</v>
      </c>
      <c r="H11" s="12" t="s">
        <v>25</v>
      </c>
      <c r="I11" s="37"/>
    </row>
    <row r="12" spans="2:11">
      <c r="B12" s="10" t="s">
        <v>26</v>
      </c>
      <c r="C12" s="35">
        <v>3.5299999999999998E-2</v>
      </c>
      <c r="D12" s="9" t="s">
        <v>26</v>
      </c>
      <c r="E12" s="35">
        <v>2.23E-2</v>
      </c>
      <c r="G12" s="15">
        <f>J4*H4*2</f>
        <v>16</v>
      </c>
      <c r="H12" s="16" t="s">
        <v>27</v>
      </c>
      <c r="I12" s="38" t="s">
        <v>28</v>
      </c>
    </row>
    <row r="13" spans="2:11">
      <c r="B13" s="10" t="s">
        <v>29</v>
      </c>
      <c r="C13" s="35">
        <v>4.24E-2</v>
      </c>
      <c r="D13" s="9" t="s">
        <v>29</v>
      </c>
      <c r="E13" s="35">
        <v>2.6499999999999999E-2</v>
      </c>
      <c r="G13" s="10">
        <f>2*J4*I4*(_xlfn.XLOOKUP(G4,Table2[GUAGE for AL],Table2[OHMS PER 1K FEET])/1000)</f>
        <v>41.36</v>
      </c>
      <c r="H13" s="13" t="s">
        <v>25</v>
      </c>
      <c r="I13" s="37"/>
    </row>
    <row r="14" spans="2:11">
      <c r="B14" s="10" t="s">
        <v>30</v>
      </c>
      <c r="C14" s="35">
        <v>5.2900000000000003E-2</v>
      </c>
      <c r="D14" s="9" t="s">
        <v>30</v>
      </c>
      <c r="E14" s="35">
        <v>3.3099999999999997E-2</v>
      </c>
    </row>
    <row r="15" spans="2:11">
      <c r="B15" s="10" t="s">
        <v>31</v>
      </c>
      <c r="C15" s="35">
        <v>6.0499999999999998E-2</v>
      </c>
      <c r="D15" s="9" t="s">
        <v>31</v>
      </c>
      <c r="E15" s="35">
        <v>3.8199999999999998E-2</v>
      </c>
      <c r="G15" s="3"/>
      <c r="H15" s="3"/>
    </row>
    <row r="16" spans="2:11">
      <c r="B16" s="10" t="s">
        <v>32</v>
      </c>
      <c r="C16" s="35">
        <v>7.0699999999999999E-2</v>
      </c>
      <c r="D16" s="9" t="s">
        <v>32</v>
      </c>
      <c r="E16" s="35">
        <v>4.4600000000000001E-2</v>
      </c>
      <c r="G16" s="3"/>
      <c r="H16" s="3"/>
    </row>
    <row r="17" spans="2:9">
      <c r="B17" s="10" t="s">
        <v>33</v>
      </c>
      <c r="C17" s="35">
        <v>8.4699999999999998E-2</v>
      </c>
      <c r="D17" s="9" t="s">
        <v>33</v>
      </c>
      <c r="E17" s="35">
        <v>5.3499999999999999E-2</v>
      </c>
      <c r="G17" s="53" t="s">
        <v>34</v>
      </c>
      <c r="H17" s="54"/>
    </row>
    <row r="18" spans="2:9">
      <c r="B18" s="10" t="s">
        <v>35</v>
      </c>
      <c r="C18" s="39">
        <v>0.1</v>
      </c>
      <c r="D18" s="9" t="s">
        <v>35</v>
      </c>
      <c r="E18" s="39">
        <v>6.2600000000000003E-2</v>
      </c>
      <c r="G18" s="8">
        <f>SQRT(3)*J4*I4*(_xlfn.XLOOKUP(G4,Table1[GUAGE for CU],Table1[OHMS PER 1K FEET])/1000)</f>
        <v>22.585942530698158</v>
      </c>
      <c r="H18" s="12" t="s">
        <v>25</v>
      </c>
      <c r="I18" s="37"/>
    </row>
    <row r="19" spans="2:9">
      <c r="B19" s="10" t="s">
        <v>36</v>
      </c>
      <c r="C19" s="39">
        <v>0.126</v>
      </c>
      <c r="D19" s="9" t="s">
        <v>36</v>
      </c>
      <c r="E19" s="39">
        <v>7.9000000000000001E-2</v>
      </c>
      <c r="G19" s="17">
        <f>J4*H4*(SQRT(3))</f>
        <v>13.856406460551018</v>
      </c>
      <c r="H19" s="16" t="s">
        <v>27</v>
      </c>
      <c r="I19" s="38" t="s">
        <v>28</v>
      </c>
    </row>
    <row r="20" spans="2:9">
      <c r="B20" s="10" t="s">
        <v>37</v>
      </c>
      <c r="C20" s="39">
        <v>0.159</v>
      </c>
      <c r="D20" s="9" t="s">
        <v>37</v>
      </c>
      <c r="E20" s="39">
        <v>0.10100000000000001</v>
      </c>
      <c r="G20" s="11">
        <f>SQRT(3)*J4*I4*(_xlfn.XLOOKUP(G4,Table2[GUAGE for AL],Table2[OHMS PER 1K FEET])/1000)</f>
        <v>35.818810700524381</v>
      </c>
      <c r="H20" s="13" t="s">
        <v>25</v>
      </c>
      <c r="I20" s="37"/>
    </row>
    <row r="21" spans="2:9">
      <c r="B21" s="10" t="s">
        <v>38</v>
      </c>
      <c r="C21" s="39">
        <v>0.20100000000000001</v>
      </c>
      <c r="D21" s="9" t="s">
        <v>38</v>
      </c>
      <c r="E21" s="39">
        <v>0.127</v>
      </c>
    </row>
    <row r="22" spans="2:9">
      <c r="B22" s="10" t="s">
        <v>39</v>
      </c>
      <c r="C22" s="39">
        <v>0.253</v>
      </c>
      <c r="D22" s="9" t="s">
        <v>39</v>
      </c>
      <c r="E22" s="39">
        <v>0.16</v>
      </c>
      <c r="G22" s="3"/>
      <c r="H22" s="3"/>
    </row>
    <row r="23" spans="2:9">
      <c r="B23" s="10" t="s">
        <v>40</v>
      </c>
      <c r="C23" s="39">
        <v>0.31900000000000001</v>
      </c>
      <c r="D23" s="9" t="s">
        <v>40</v>
      </c>
      <c r="E23" s="39">
        <v>0.20100000000000001</v>
      </c>
      <c r="G23" s="53" t="s">
        <v>41</v>
      </c>
      <c r="H23" s="54"/>
    </row>
    <row r="24" spans="2:9">
      <c r="B24" s="19" t="s">
        <v>42</v>
      </c>
      <c r="C24" s="39">
        <v>0.40300000000000002</v>
      </c>
      <c r="D24" s="18" t="s">
        <v>42</v>
      </c>
      <c r="E24" s="39">
        <v>0.254</v>
      </c>
      <c r="G24" s="9">
        <f>J4*I4*(_xlfn.XLOOKUP(G4,Table1[GUAGE for CU],Table1[OHMS PER 1K FEET])/1000)</f>
        <v>13.04</v>
      </c>
      <c r="H24" s="12" t="s">
        <v>25</v>
      </c>
      <c r="I24" s="37"/>
    </row>
    <row r="25" spans="2:9">
      <c r="B25" s="10" t="s">
        <v>43</v>
      </c>
      <c r="C25" s="39">
        <v>0.50800000000000001</v>
      </c>
      <c r="D25" s="9" t="s">
        <v>43</v>
      </c>
      <c r="E25" s="39">
        <v>0.32100000000000001</v>
      </c>
      <c r="G25" s="15">
        <f>J4*H4</f>
        <v>8</v>
      </c>
      <c r="H25" s="16" t="s">
        <v>44</v>
      </c>
      <c r="I25" s="38" t="s">
        <v>28</v>
      </c>
    </row>
    <row r="26" spans="2:9">
      <c r="B26" s="10" t="s">
        <v>45</v>
      </c>
      <c r="C26" s="39">
        <v>0.80800000000000005</v>
      </c>
      <c r="D26" s="9" t="s">
        <v>45</v>
      </c>
      <c r="E26" s="39">
        <v>0.51</v>
      </c>
      <c r="G26" s="10">
        <f>J4*I4*(_xlfn.XLOOKUP(G4,Table2[GUAGE for AL],Table2[OHMS PER 1K FEET])/1000)</f>
        <v>20.68</v>
      </c>
      <c r="H26" s="13" t="s">
        <v>25</v>
      </c>
      <c r="I26" s="37"/>
    </row>
    <row r="27" spans="2:9">
      <c r="B27" s="10" t="s">
        <v>46</v>
      </c>
      <c r="C27" s="40">
        <v>1.28</v>
      </c>
      <c r="D27" s="9" t="s">
        <v>46</v>
      </c>
      <c r="E27" s="39">
        <v>0.80900000000000005</v>
      </c>
    </row>
    <row r="28" spans="2:9">
      <c r="B28" s="10" t="s">
        <v>47</v>
      </c>
      <c r="C28" s="40">
        <v>2.04</v>
      </c>
      <c r="D28" s="9" t="s">
        <v>47</v>
      </c>
      <c r="E28" s="40">
        <v>1.29</v>
      </c>
    </row>
    <row r="29" spans="2:9">
      <c r="B29" s="10" t="s">
        <v>48</v>
      </c>
      <c r="C29" s="40">
        <v>3.25</v>
      </c>
      <c r="D29" s="9" t="s">
        <v>48</v>
      </c>
      <c r="E29" s="40">
        <v>2.0499999999999998</v>
      </c>
      <c r="G29" s="35" t="s">
        <v>49</v>
      </c>
      <c r="H29" s="35" t="s">
        <v>50</v>
      </c>
    </row>
    <row r="30" spans="2:9">
      <c r="B30" s="10" t="s">
        <v>10</v>
      </c>
      <c r="C30" s="40">
        <v>5.17</v>
      </c>
      <c r="D30" s="9" t="s">
        <v>10</v>
      </c>
      <c r="E30" s="40">
        <v>3.26</v>
      </c>
      <c r="G30" s="15"/>
      <c r="H30" s="35" t="s">
        <v>51</v>
      </c>
    </row>
    <row r="31" spans="2:9">
      <c r="B31" s="10" t="s">
        <v>52</v>
      </c>
      <c r="C31" s="40">
        <v>8.2100000000000009</v>
      </c>
      <c r="D31" s="9" t="s">
        <v>52</v>
      </c>
      <c r="E31" s="40">
        <v>5.29</v>
      </c>
      <c r="G31" s="36"/>
      <c r="H31" s="35" t="s">
        <v>53</v>
      </c>
    </row>
    <row r="32" spans="2:9">
      <c r="B32" s="10" t="s">
        <v>54</v>
      </c>
      <c r="C32" s="40">
        <v>13.1</v>
      </c>
      <c r="D32" s="9" t="s">
        <v>54</v>
      </c>
      <c r="E32" s="40">
        <v>8.4499999999999993</v>
      </c>
    </row>
  </sheetData>
  <mergeCells count="5">
    <mergeCell ref="G23:H23"/>
    <mergeCell ref="G6:H6"/>
    <mergeCell ref="G2:J2"/>
    <mergeCell ref="G10:H10"/>
    <mergeCell ref="G17:H17"/>
  </mergeCells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F75FC-2AA7-4F8A-8E01-BBAD7E121A77}">
  <dimension ref="B1:AD34"/>
  <sheetViews>
    <sheetView topLeftCell="E1" zoomScale="70" zoomScaleNormal="70" workbookViewId="0">
      <selection activeCell="F32" sqref="F32"/>
    </sheetView>
  </sheetViews>
  <sheetFormatPr defaultRowHeight="15"/>
  <cols>
    <col min="2" max="2" width="20.28515625" bestFit="1" customWidth="1"/>
    <col min="3" max="3" width="10.7109375" customWidth="1"/>
    <col min="4" max="4" width="12" customWidth="1"/>
    <col min="5" max="7" width="14.5703125" bestFit="1" customWidth="1"/>
    <col min="8" max="8" width="15.7109375" bestFit="1" customWidth="1"/>
    <col min="9" max="10" width="18.28515625" bestFit="1" customWidth="1"/>
    <col min="11" max="12" width="15.7109375" bestFit="1" customWidth="1"/>
    <col min="13" max="14" width="11.140625" bestFit="1" customWidth="1"/>
    <col min="15" max="18" width="15.7109375" bestFit="1" customWidth="1"/>
    <col min="19" max="20" width="18.28515625" bestFit="1" customWidth="1"/>
    <col min="21" max="22" width="15.7109375" bestFit="1" customWidth="1"/>
  </cols>
  <sheetData>
    <row r="1" spans="2:23">
      <c r="B1" s="2"/>
    </row>
    <row r="2" spans="2:23">
      <c r="B2" s="14" t="s">
        <v>55</v>
      </c>
      <c r="C2" s="59" t="s">
        <v>56</v>
      </c>
      <c r="D2" s="59"/>
      <c r="E2" s="59"/>
    </row>
    <row r="3" spans="2:23">
      <c r="B3" s="24" t="s">
        <v>57</v>
      </c>
      <c r="C3" s="26" t="s">
        <v>58</v>
      </c>
      <c r="D3" s="26" t="s">
        <v>59</v>
      </c>
      <c r="E3" s="26" t="s">
        <v>60</v>
      </c>
      <c r="F3" s="26" t="s">
        <v>61</v>
      </c>
      <c r="G3" s="26" t="s">
        <v>62</v>
      </c>
      <c r="H3" s="26" t="s">
        <v>63</v>
      </c>
      <c r="I3" s="26" t="s">
        <v>64</v>
      </c>
      <c r="J3" s="26" t="s">
        <v>65</v>
      </c>
      <c r="K3" s="26" t="s">
        <v>66</v>
      </c>
      <c r="L3" s="26" t="s">
        <v>67</v>
      </c>
      <c r="N3" s="2"/>
      <c r="O3" s="2"/>
      <c r="P3" s="2"/>
      <c r="Q3" s="2"/>
      <c r="R3" s="2"/>
      <c r="S3" s="2"/>
      <c r="T3" s="2"/>
      <c r="U3" s="2"/>
      <c r="V3" s="2"/>
      <c r="W3" s="2"/>
    </row>
    <row r="4" spans="2:23">
      <c r="B4" s="43" t="s">
        <v>68</v>
      </c>
      <c r="C4" s="44" t="s">
        <v>69</v>
      </c>
      <c r="D4" s="44" t="s">
        <v>69</v>
      </c>
      <c r="E4" s="44">
        <v>4.5999999999999999E-2</v>
      </c>
      <c r="F4" s="44" t="s">
        <v>69</v>
      </c>
      <c r="G4" s="44">
        <v>7.3999999999999996E-2</v>
      </c>
      <c r="H4" s="44" t="s">
        <v>69</v>
      </c>
      <c r="I4" s="44" t="s">
        <v>69</v>
      </c>
      <c r="J4" s="44" t="s">
        <v>69</v>
      </c>
      <c r="K4" s="44" t="s">
        <v>69</v>
      </c>
      <c r="L4" s="49" t="s">
        <v>69</v>
      </c>
      <c r="M4" s="1"/>
      <c r="N4" s="3"/>
      <c r="O4" s="3"/>
      <c r="P4" s="3"/>
      <c r="Q4" s="3"/>
      <c r="R4" s="3"/>
      <c r="S4" s="3"/>
      <c r="T4" s="3"/>
      <c r="U4" s="3"/>
      <c r="V4" s="3"/>
      <c r="W4" s="3"/>
    </row>
    <row r="5" spans="2:23">
      <c r="B5" s="45" t="s">
        <v>70</v>
      </c>
      <c r="C5" s="35">
        <v>0.122</v>
      </c>
      <c r="D5" s="35">
        <v>0.114</v>
      </c>
      <c r="E5" s="35">
        <v>0.127</v>
      </c>
      <c r="F5" s="35">
        <v>0.13700000000000001</v>
      </c>
      <c r="G5" s="35">
        <v>0.121</v>
      </c>
      <c r="H5" s="35">
        <v>0.125</v>
      </c>
      <c r="I5" s="35">
        <v>8.6999999999999994E-2</v>
      </c>
      <c r="J5" s="35">
        <v>0.114</v>
      </c>
      <c r="K5" s="35">
        <v>0.154</v>
      </c>
      <c r="L5" s="50" t="s">
        <v>69</v>
      </c>
      <c r="M5" s="1"/>
      <c r="N5" s="3"/>
      <c r="O5" s="3"/>
      <c r="P5" s="3"/>
      <c r="Q5" s="3"/>
      <c r="R5" s="3"/>
      <c r="S5" s="3"/>
      <c r="T5" s="3"/>
      <c r="U5" s="3"/>
      <c r="V5" s="3"/>
      <c r="W5" s="3"/>
    </row>
    <row r="6" spans="2:23">
      <c r="B6" s="43" t="s">
        <v>71</v>
      </c>
      <c r="C6" s="44">
        <v>0.21299999999999999</v>
      </c>
      <c r="D6" s="44">
        <v>0.20300000000000001</v>
      </c>
      <c r="E6" s="44">
        <v>0.21299999999999999</v>
      </c>
      <c r="F6" s="44">
        <v>0.23499999999999999</v>
      </c>
      <c r="G6" s="44">
        <v>0.20899999999999999</v>
      </c>
      <c r="H6" s="44">
        <v>0.22</v>
      </c>
      <c r="I6" s="44">
        <v>0.16400000000000001</v>
      </c>
      <c r="J6" s="44">
        <v>0.20300000000000001</v>
      </c>
      <c r="K6" s="44">
        <v>0.26</v>
      </c>
      <c r="L6" s="49" t="s">
        <v>69</v>
      </c>
      <c r="M6" s="1"/>
      <c r="N6" s="3"/>
      <c r="O6" s="3"/>
      <c r="P6" s="3"/>
      <c r="Q6" s="3"/>
      <c r="R6" s="3"/>
      <c r="S6" s="3"/>
      <c r="T6" s="3"/>
      <c r="U6" s="3"/>
      <c r="V6" s="3"/>
      <c r="W6" s="3"/>
    </row>
    <row r="7" spans="2:23">
      <c r="B7" s="45" t="s">
        <v>39</v>
      </c>
      <c r="C7" s="35">
        <v>0.34599999999999997</v>
      </c>
      <c r="D7" s="35">
        <v>0.33300000000000002</v>
      </c>
      <c r="E7" s="35">
        <v>0.32700000000000001</v>
      </c>
      <c r="F7" s="35">
        <v>0.38400000000000001</v>
      </c>
      <c r="G7" s="35">
        <v>0.33300000000000002</v>
      </c>
      <c r="H7" s="35">
        <v>0.35499999999999998</v>
      </c>
      <c r="I7" s="35">
        <v>0.27500000000000002</v>
      </c>
      <c r="J7" s="35">
        <v>0.33300000000000002</v>
      </c>
      <c r="K7" s="35">
        <v>0.434</v>
      </c>
      <c r="L7" s="50" t="s">
        <v>69</v>
      </c>
      <c r="M7" s="1"/>
      <c r="N7" s="3"/>
      <c r="O7" s="3"/>
      <c r="P7" s="3"/>
      <c r="Q7" s="3"/>
      <c r="R7" s="3"/>
      <c r="S7" s="3"/>
      <c r="T7" s="3"/>
      <c r="U7" s="3"/>
      <c r="V7" s="3"/>
      <c r="W7" s="3"/>
    </row>
    <row r="8" spans="2:23">
      <c r="B8" s="43" t="s">
        <v>72</v>
      </c>
      <c r="C8" s="44">
        <v>0.59799999999999998</v>
      </c>
      <c r="D8" s="44">
        <v>0.58099999999999996</v>
      </c>
      <c r="E8" s="44">
        <v>0.51100000000000001</v>
      </c>
      <c r="F8" s="44">
        <v>0.65900000000000003</v>
      </c>
      <c r="G8" s="44">
        <v>0.59</v>
      </c>
      <c r="H8" s="44">
        <v>0.61</v>
      </c>
      <c r="I8" s="44">
        <v>0.495</v>
      </c>
      <c r="J8" s="44">
        <v>0.58099999999999996</v>
      </c>
      <c r="K8" s="44">
        <v>0.70699999999999996</v>
      </c>
      <c r="L8" s="49" t="s">
        <v>69</v>
      </c>
      <c r="M8" s="1"/>
      <c r="N8" s="3"/>
      <c r="O8" s="3"/>
      <c r="P8" s="3"/>
      <c r="Q8" s="3"/>
      <c r="R8" s="3"/>
      <c r="S8" s="3"/>
      <c r="T8" s="3"/>
      <c r="U8" s="3"/>
      <c r="V8" s="3"/>
      <c r="W8" s="3"/>
    </row>
    <row r="9" spans="2:23">
      <c r="B9" s="45" t="s">
        <v>73</v>
      </c>
      <c r="C9" s="35">
        <v>0.81399999999999995</v>
      </c>
      <c r="D9" s="35">
        <v>0.79400000000000004</v>
      </c>
      <c r="E9" s="35">
        <v>0.74299999999999999</v>
      </c>
      <c r="F9" s="35">
        <v>0.89</v>
      </c>
      <c r="G9" s="35">
        <v>0.78900000000000003</v>
      </c>
      <c r="H9" s="35">
        <v>0.82899999999999996</v>
      </c>
      <c r="I9" s="35">
        <v>0.68400000000000005</v>
      </c>
      <c r="J9" s="35">
        <v>0.79400000000000004</v>
      </c>
      <c r="K9" s="35">
        <v>0.92900000000000005</v>
      </c>
      <c r="L9" s="50" t="s">
        <v>69</v>
      </c>
      <c r="M9" s="1"/>
      <c r="N9" s="3"/>
      <c r="O9" s="3"/>
      <c r="P9" s="3"/>
      <c r="Q9" s="3"/>
      <c r="R9" s="3"/>
      <c r="S9" s="3"/>
      <c r="T9" s="3"/>
      <c r="U9" s="3"/>
      <c r="V9" s="3"/>
      <c r="W9" s="3"/>
    </row>
    <row r="10" spans="2:23">
      <c r="B10" s="43" t="s">
        <v>40</v>
      </c>
      <c r="C10" s="44">
        <v>1.3420000000000001</v>
      </c>
      <c r="D10" s="44">
        <v>1.3160000000000001</v>
      </c>
      <c r="E10" s="44">
        <v>1.3069999999999999</v>
      </c>
      <c r="F10" s="44">
        <v>1.452</v>
      </c>
      <c r="G10" s="44">
        <v>1.298</v>
      </c>
      <c r="H10" s="44">
        <v>1.363</v>
      </c>
      <c r="I10" s="44">
        <v>1.1499999999999999</v>
      </c>
      <c r="J10" s="44">
        <v>1.3160000000000001</v>
      </c>
      <c r="K10" s="44">
        <v>1.4590000000000001</v>
      </c>
      <c r="L10" s="49">
        <v>1.55</v>
      </c>
      <c r="M10" s="1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2:23">
      <c r="B11" s="45" t="s">
        <v>74</v>
      </c>
      <c r="C11" s="35">
        <v>2.343</v>
      </c>
      <c r="D11" s="35" t="s">
        <v>69</v>
      </c>
      <c r="E11" s="35">
        <v>1.9630000000000001</v>
      </c>
      <c r="F11" s="35">
        <v>2.0539999999999998</v>
      </c>
      <c r="G11" s="35">
        <v>1.9530000000000001</v>
      </c>
      <c r="H11" s="35">
        <v>1.946</v>
      </c>
      <c r="I11" s="35">
        <v>1.647</v>
      </c>
      <c r="J11" s="35">
        <v>1.8779999999999999</v>
      </c>
      <c r="K11" s="35">
        <v>2.181</v>
      </c>
      <c r="L11" s="50" t="s">
        <v>69</v>
      </c>
      <c r="M11" s="1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2:23">
      <c r="B12" s="43" t="s">
        <v>42</v>
      </c>
      <c r="C12" s="44">
        <v>3.5379999999999998</v>
      </c>
      <c r="D12" s="44" t="s">
        <v>69</v>
      </c>
      <c r="E12" s="44">
        <v>2.827</v>
      </c>
      <c r="F12" s="44">
        <v>3.169</v>
      </c>
      <c r="G12" s="44">
        <v>2.99</v>
      </c>
      <c r="H12" s="44">
        <v>3</v>
      </c>
      <c r="I12" s="44">
        <v>2.577</v>
      </c>
      <c r="J12" s="44">
        <v>2.907</v>
      </c>
      <c r="K12" s="44">
        <v>3.278</v>
      </c>
      <c r="L12" s="49">
        <v>3.484</v>
      </c>
      <c r="M12" s="1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2:23">
      <c r="B13" s="45" t="s">
        <v>75</v>
      </c>
      <c r="C13" s="35">
        <v>4.6180000000000003</v>
      </c>
      <c r="D13" s="35" t="s">
        <v>69</v>
      </c>
      <c r="E13" s="35">
        <v>3.8479999999999999</v>
      </c>
      <c r="F13" s="35">
        <v>4.234</v>
      </c>
      <c r="G13" s="35">
        <v>3.8929999999999998</v>
      </c>
      <c r="H13" s="35">
        <v>4.0039999999999996</v>
      </c>
      <c r="I13" s="35">
        <v>3.4750000000000001</v>
      </c>
      <c r="J13" s="35">
        <v>3.895</v>
      </c>
      <c r="K13" s="35">
        <v>4.2779999999999996</v>
      </c>
      <c r="L13" s="50">
        <v>4.5460000000000003</v>
      </c>
      <c r="M13" s="1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3">
      <c r="B14" s="43" t="s">
        <v>43</v>
      </c>
      <c r="C14" s="44">
        <v>5.9009999999999998</v>
      </c>
      <c r="D14" s="44" t="s">
        <v>69</v>
      </c>
      <c r="E14" s="44">
        <v>5.0270000000000001</v>
      </c>
      <c r="F14" s="44">
        <v>5.452</v>
      </c>
      <c r="G14" s="44">
        <v>5.077</v>
      </c>
      <c r="H14" s="44">
        <v>5.1529999999999996</v>
      </c>
      <c r="I14" s="44">
        <v>4.5030000000000001</v>
      </c>
      <c r="J14" s="44">
        <v>5.0220000000000002</v>
      </c>
      <c r="K14" s="44">
        <v>5.4889999999999999</v>
      </c>
      <c r="L14" s="49">
        <v>5.7789999999999999</v>
      </c>
      <c r="M14" s="1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2:23">
      <c r="B15" s="45" t="s">
        <v>76</v>
      </c>
      <c r="C15" s="35" t="s">
        <v>69</v>
      </c>
      <c r="D15" s="35" t="s">
        <v>69</v>
      </c>
      <c r="E15" s="35" t="s">
        <v>69</v>
      </c>
      <c r="F15" s="35" t="s">
        <v>69</v>
      </c>
      <c r="G15" s="35" t="s">
        <v>69</v>
      </c>
      <c r="H15" s="35">
        <v>8.0850000000000009</v>
      </c>
      <c r="I15" s="35">
        <v>7.1420000000000003</v>
      </c>
      <c r="J15" s="35">
        <v>7.9039999999999999</v>
      </c>
      <c r="K15" s="35" t="s">
        <v>69</v>
      </c>
      <c r="L15" s="50">
        <v>8.8780000000000001</v>
      </c>
      <c r="M15" s="1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3">
      <c r="B16" s="43" t="s">
        <v>45</v>
      </c>
      <c r="C16" s="44" t="s">
        <v>69</v>
      </c>
      <c r="D16" s="44" t="s">
        <v>69</v>
      </c>
      <c r="E16" s="44" t="s">
        <v>69</v>
      </c>
      <c r="F16" s="44" t="s">
        <v>69</v>
      </c>
      <c r="G16" s="44" t="s">
        <v>69</v>
      </c>
      <c r="H16" s="44">
        <v>11.663</v>
      </c>
      <c r="I16" s="44">
        <v>10.239000000000001</v>
      </c>
      <c r="J16" s="44">
        <v>11.427</v>
      </c>
      <c r="K16" s="44" t="s">
        <v>69</v>
      </c>
      <c r="L16" s="49">
        <v>12.612</v>
      </c>
      <c r="M16" s="1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2:30">
      <c r="B17" s="41" t="s">
        <v>77</v>
      </c>
      <c r="C17" s="42" t="s">
        <v>78</v>
      </c>
      <c r="D17" s="42" t="s">
        <v>79</v>
      </c>
      <c r="E17" s="42" t="s">
        <v>80</v>
      </c>
      <c r="F17" s="42" t="s">
        <v>81</v>
      </c>
      <c r="G17" s="42" t="s">
        <v>82</v>
      </c>
      <c r="H17" s="42" t="s">
        <v>83</v>
      </c>
      <c r="I17" s="42" t="s">
        <v>84</v>
      </c>
      <c r="J17" s="42" t="s">
        <v>85</v>
      </c>
      <c r="K17" s="42" t="s">
        <v>86</v>
      </c>
      <c r="L17" s="42" t="s">
        <v>87</v>
      </c>
      <c r="M17" s="41"/>
      <c r="N17" s="42"/>
      <c r="O17" s="42"/>
      <c r="P17" s="42"/>
      <c r="Q17" s="42"/>
      <c r="R17" s="42"/>
      <c r="S17" s="42"/>
      <c r="T17" s="42"/>
      <c r="U17" s="42"/>
      <c r="V17" s="42"/>
      <c r="W17" s="42"/>
    </row>
    <row r="19" spans="2:30">
      <c r="B19" s="20" t="s">
        <v>88</v>
      </c>
      <c r="C19" s="20">
        <v>14</v>
      </c>
      <c r="D19" s="20">
        <v>12</v>
      </c>
      <c r="E19" s="20">
        <v>10</v>
      </c>
      <c r="F19" s="20">
        <v>8</v>
      </c>
      <c r="G19" s="20">
        <v>6</v>
      </c>
      <c r="H19" s="20">
        <v>4</v>
      </c>
      <c r="I19" s="20">
        <v>3</v>
      </c>
      <c r="J19" s="20">
        <v>2</v>
      </c>
      <c r="K19" s="20">
        <v>1</v>
      </c>
      <c r="L19" s="21" t="s">
        <v>38</v>
      </c>
      <c r="M19" s="21" t="s">
        <v>37</v>
      </c>
      <c r="N19" s="21" t="s">
        <v>36</v>
      </c>
      <c r="O19" s="21" t="s">
        <v>35</v>
      </c>
      <c r="P19" s="20">
        <v>250</v>
      </c>
      <c r="Q19" s="20">
        <v>300</v>
      </c>
      <c r="R19" s="20">
        <v>350</v>
      </c>
      <c r="S19" s="20">
        <v>400</v>
      </c>
      <c r="T19" s="20">
        <v>500</v>
      </c>
      <c r="U19" s="20">
        <v>600</v>
      </c>
      <c r="V19" s="20">
        <v>700</v>
      </c>
      <c r="W19" s="20">
        <v>750</v>
      </c>
      <c r="X19" s="20">
        <v>800</v>
      </c>
      <c r="Y19" s="20">
        <v>900</v>
      </c>
      <c r="Z19" s="20">
        <v>1000</v>
      </c>
      <c r="AA19" s="20">
        <v>1250</v>
      </c>
      <c r="AB19" s="20">
        <v>1500</v>
      </c>
      <c r="AC19" s="20">
        <v>1750</v>
      </c>
      <c r="AD19" s="20">
        <v>2000</v>
      </c>
    </row>
    <row r="20" spans="2:30">
      <c r="B20" s="20" t="s">
        <v>89</v>
      </c>
      <c r="C20" s="22">
        <v>9.7000000000000003E-3</v>
      </c>
      <c r="D20" s="22">
        <v>1.3299999999999999E-2</v>
      </c>
      <c r="E20" s="22">
        <v>2.1100000000000001E-2</v>
      </c>
      <c r="F20" s="22">
        <v>3.6600000000000001E-2</v>
      </c>
      <c r="G20" s="22">
        <v>5.0700000000000002E-2</v>
      </c>
      <c r="H20" s="22">
        <v>8.2400000000000001E-2</v>
      </c>
      <c r="I20" s="22">
        <v>9.7299999999999998E-2</v>
      </c>
      <c r="J20" s="22">
        <v>0.1158</v>
      </c>
      <c r="K20" s="22">
        <v>0.15620000000000001</v>
      </c>
      <c r="L20" s="22">
        <v>0.1855</v>
      </c>
      <c r="M20" s="22">
        <v>0.2223</v>
      </c>
      <c r="N20" s="22">
        <v>0.26790000000000003</v>
      </c>
      <c r="O20" s="22">
        <v>0.32369999999999999</v>
      </c>
      <c r="P20" s="22">
        <v>0.39700000000000002</v>
      </c>
      <c r="Q20" s="22">
        <v>0.46079999999999999</v>
      </c>
      <c r="R20" s="22">
        <v>0.5242</v>
      </c>
      <c r="S20" s="22">
        <v>0.58630000000000004</v>
      </c>
      <c r="T20" s="22">
        <v>0.70730000000000004</v>
      </c>
      <c r="U20" s="22">
        <v>0.86760000000000004</v>
      </c>
      <c r="V20" s="22">
        <v>0.98870000000000002</v>
      </c>
      <c r="W20" s="22">
        <v>1.0496000000000001</v>
      </c>
      <c r="X20" s="22">
        <v>1.1085</v>
      </c>
      <c r="Y20" s="22">
        <v>1.2311000000000001</v>
      </c>
      <c r="Z20" s="22">
        <v>1.3478000000000001</v>
      </c>
      <c r="AA20" s="27"/>
      <c r="AB20" s="27"/>
      <c r="AC20" s="27"/>
      <c r="AD20" s="27"/>
    </row>
    <row r="21" spans="2:30">
      <c r="B21" s="20" t="s">
        <v>90</v>
      </c>
      <c r="C21" s="22">
        <v>1.3899999999999999E-2</v>
      </c>
      <c r="D21" s="22">
        <v>1.8100000000000002E-2</v>
      </c>
      <c r="E21" s="22">
        <v>2.4299999999999999E-2</v>
      </c>
      <c r="F21" s="22">
        <v>4.3700000000000003E-2</v>
      </c>
      <c r="G21" s="22">
        <v>5.8999999999999997E-2</v>
      </c>
      <c r="H21" s="22">
        <v>8.14E-2</v>
      </c>
      <c r="I21" s="22">
        <v>9.6199999999999994E-2</v>
      </c>
      <c r="J21" s="22">
        <v>0.11459999999999999</v>
      </c>
      <c r="K21" s="22">
        <v>0.15340000000000001</v>
      </c>
      <c r="L21" s="22">
        <v>0.1825</v>
      </c>
      <c r="M21" s="22">
        <v>0.219</v>
      </c>
      <c r="N21" s="22">
        <v>0.26419999999999999</v>
      </c>
      <c r="O21" s="22">
        <v>0.31969999999999998</v>
      </c>
      <c r="P21" s="22">
        <v>0.39040000000000002</v>
      </c>
      <c r="Q21" s="22">
        <v>0.4536</v>
      </c>
      <c r="R21" s="22">
        <v>0.51659999999999995</v>
      </c>
      <c r="S21" s="22">
        <v>0.57820000000000005</v>
      </c>
      <c r="T21" s="22">
        <v>0.69840000000000002</v>
      </c>
      <c r="U21" s="22">
        <v>0.87090000000000001</v>
      </c>
      <c r="V21" s="22">
        <v>0.99229999999999996</v>
      </c>
      <c r="W21" s="22">
        <v>1.0531999999999999</v>
      </c>
      <c r="X21" s="22">
        <v>1.1122000000000001</v>
      </c>
      <c r="Y21" s="22">
        <v>1.2351000000000001</v>
      </c>
      <c r="Z21" s="22">
        <v>1.3519000000000001</v>
      </c>
      <c r="AA21" s="22">
        <v>1.718</v>
      </c>
      <c r="AB21" s="22">
        <v>2.0156000000000001</v>
      </c>
      <c r="AC21" s="22">
        <v>2.3127</v>
      </c>
      <c r="AD21" s="22">
        <v>2.6073</v>
      </c>
    </row>
    <row r="22" spans="2:30"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2:30"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2:30">
      <c r="B24" s="25" t="s">
        <v>91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2:30">
      <c r="B25" s="21" t="s">
        <v>92</v>
      </c>
      <c r="C25" s="20">
        <v>14</v>
      </c>
      <c r="D25" s="20">
        <v>12</v>
      </c>
      <c r="E25" s="20">
        <v>10</v>
      </c>
      <c r="F25" s="20">
        <v>8</v>
      </c>
      <c r="G25" s="20">
        <v>6</v>
      </c>
      <c r="H25" s="20">
        <v>4</v>
      </c>
      <c r="I25" s="20">
        <v>3</v>
      </c>
      <c r="J25" s="20">
        <v>2</v>
      </c>
      <c r="K25" s="20">
        <v>1</v>
      </c>
      <c r="L25" s="21" t="s">
        <v>38</v>
      </c>
      <c r="M25" s="21" t="s">
        <v>37</v>
      </c>
      <c r="N25" s="21" t="s">
        <v>36</v>
      </c>
      <c r="O25" s="21" t="s">
        <v>35</v>
      </c>
      <c r="P25" s="20">
        <v>250</v>
      </c>
      <c r="Q25" s="20">
        <v>300</v>
      </c>
      <c r="R25" s="20">
        <v>350</v>
      </c>
      <c r="S25" s="20">
        <v>400</v>
      </c>
      <c r="T25" s="20">
        <v>500</v>
      </c>
      <c r="U25" s="20">
        <v>600</v>
      </c>
      <c r="V25" s="20">
        <v>700</v>
      </c>
      <c r="W25" s="20">
        <v>750</v>
      </c>
      <c r="X25" s="20">
        <v>800</v>
      </c>
      <c r="Y25" s="20">
        <v>900</v>
      </c>
      <c r="Z25" s="20">
        <v>1000</v>
      </c>
      <c r="AA25" s="20">
        <v>1250</v>
      </c>
      <c r="AB25" s="20">
        <v>1500</v>
      </c>
      <c r="AC25" s="20">
        <v>1750</v>
      </c>
      <c r="AD25" s="20">
        <v>2000</v>
      </c>
    </row>
    <row r="26" spans="2:30">
      <c r="B26" s="21" t="s">
        <v>89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30"/>
      <c r="AB26" s="30"/>
      <c r="AC26" s="30"/>
      <c r="AD26" s="30"/>
    </row>
    <row r="27" spans="2:30">
      <c r="B27" s="21" t="s">
        <v>90</v>
      </c>
      <c r="C27" s="29">
        <v>0</v>
      </c>
      <c r="D27" s="29">
        <v>0</v>
      </c>
      <c r="E27" s="29">
        <v>0</v>
      </c>
      <c r="F27" s="29">
        <v>0</v>
      </c>
      <c r="G27" s="29">
        <v>1</v>
      </c>
      <c r="H27" s="29">
        <v>0</v>
      </c>
      <c r="I27" s="29">
        <v>0</v>
      </c>
      <c r="J27" s="29">
        <v>0</v>
      </c>
      <c r="K27" s="29">
        <v>0</v>
      </c>
      <c r="L27" s="29">
        <v>3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</row>
    <row r="28" spans="2:30">
      <c r="B28" s="2"/>
    </row>
    <row r="29" spans="2:30">
      <c r="B29" s="58" t="s">
        <v>93</v>
      </c>
      <c r="C29" s="58"/>
      <c r="D29" s="46" t="s">
        <v>94</v>
      </c>
      <c r="E29" s="56" t="s">
        <v>95</v>
      </c>
      <c r="F29" s="60"/>
      <c r="G29" s="56" t="s">
        <v>96</v>
      </c>
      <c r="H29" s="57"/>
    </row>
    <row r="30" spans="2:30">
      <c r="B30" s="20" t="s">
        <v>97</v>
      </c>
      <c r="C30" s="20" t="s">
        <v>77</v>
      </c>
      <c r="D30" s="23">
        <v>0.4</v>
      </c>
      <c r="E30" s="23" t="s">
        <v>98</v>
      </c>
      <c r="F30" s="20">
        <f>IF(
  ISNUMBER(SEARCH("---", INDEX(B3:L16, MATCH(C31, B3:B16, 0), MATCH(B31, B3:L3, 0)))),
  "NA",
  (10/4)*INDEX(B3:L16, MATCH(C31, B3:B16, 0), MATCH(B31, B3:L3, 0))
)</f>
        <v>2.0724999999999998</v>
      </c>
      <c r="G30" s="20" t="s">
        <v>99</v>
      </c>
      <c r="H30" s="46">
        <v>3</v>
      </c>
    </row>
    <row r="31" spans="2:30">
      <c r="B31" s="28" t="s">
        <v>63</v>
      </c>
      <c r="C31" s="28" t="s">
        <v>73</v>
      </c>
      <c r="D31" s="3" t="str">
        <f>IF(
  ISNUMBER(SEARCH("---", INDEX(B3:L16, MATCH(C31, B3:B16, 0), MATCH(B31, B3:L3, 0)))),
  "NA",
IF(
  ((C20*C26) + (D20*D26) + (E20*E26) + (F20*F26) + (G20*G26) +
    (H20*H26) + (I20*I26) + (J20*J26) + (K20*K26) + (L20*L26) +
    (M20*M26) + (N20*N26) + (O20*O26) + (P20*P26) + (Q20*Q26) +
    (R20*R26) + (S20*S26) + (T20*T26) + (U20*U26) + (V20*V26) +
    (W20*W26) + (X20*X26) + (Y20*Y26) + (Z20*Z26) + (C21*C27) +
    (D21*D27) + (E21*E27) + (F21*F27) + (G21*G27) + (H21*H27) +
    (I21*I27) + (J21*J27) + (K21*K27) + (L21*L27) + (M21*M27) +
    (N21*N27) + (O21*O27) + (P21*P27) + (Q21*Q27) + (R21*R27) +
    (S21*S27) + (T21*T27) + (U21*U27) + (V21*V27) + (W21*W27) +
    (X21*X27) + (Y21*Y27) + (Z21*Z27) + (AA21*AA27) + (AB21*AB27) +
    (AC21*AC27) + (AD21*AD27))      &lt; (INDEX(B3:L16, MATCH(C31, B3:B16, 0), MATCH(B31, B3:L3, 0))),
  "YES", "NO"
))</f>
        <v>YES</v>
      </c>
      <c r="E31" s="3"/>
    </row>
    <row r="32" spans="2:30">
      <c r="B32" s="51" t="str">
        <f>IF(ISNUMBER(SEARCH("---",INDEX(B3:L16,MATCH(C31,B3:B16,0),MATCH(B31,B3:L3,0)))),"Not real size","continue to results")</f>
        <v>continue to results</v>
      </c>
    </row>
    <row r="33" spans="2:2">
      <c r="B33" s="51"/>
    </row>
    <row r="34" spans="2:2">
      <c r="B34" s="51"/>
    </row>
  </sheetData>
  <mergeCells count="4">
    <mergeCell ref="G29:H29"/>
    <mergeCell ref="B29:C29"/>
    <mergeCell ref="C2:E2"/>
    <mergeCell ref="E29:F29"/>
  </mergeCells>
  <conditionalFormatting sqref="B32">
    <cfRule type="containsText" dxfId="2" priority="4" operator="containsText" text="Not real size">
      <formula>NOT(ISERROR(SEARCH("Not real size",B32)))</formula>
    </cfRule>
  </conditionalFormatting>
  <conditionalFormatting sqref="D31:E31">
    <cfRule type="containsText" dxfId="1" priority="5" operator="containsText" text="no">
      <formula>NOT(ISERROR(SEARCH("no",D31)))</formula>
    </cfRule>
    <cfRule type="containsText" dxfId="0" priority="6" operator="containsText" text="yes">
      <formula>NOT(ISERROR(SEARCH("yes",D31)))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B05DC21-12AA-42EE-B042-2FDD0E54FC9E}">
            <xm:f>NOT(ISERROR(SEARCH("continue to results",B32)))</xm:f>
            <xm:f>"continue to results"</xm:f>
            <x14:dxf>
              <fill>
                <patternFill>
                  <bgColor rgb="FF00B050"/>
                </patternFill>
              </fill>
            </x14:dxf>
          </x14:cfRule>
          <xm:sqref>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Wire Calculator</vt:lpstr>
      <vt:lpstr>Conduit fill quick take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Aiden Mackey</dc:creator>
  <cp:keywords/>
  <dc:description/>
  <cp:lastModifiedBy>Aiden Mackey</cp:lastModifiedBy>
  <cp:revision/>
  <dcterms:created xsi:type="dcterms:W3CDTF">2024-06-21T19:16:40Z</dcterms:created>
  <dcterms:modified xsi:type="dcterms:W3CDTF">2024-08-02T13:33:50Z</dcterms:modified>
  <cp:category/>
  <cp:contentStatus/>
</cp:coreProperties>
</file>